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Oa/guv6gYi/6K8I47kERbydC31SFpzjGZn/jFj3SyZntLHb0JfFRAItVeQ+Y6dIEhPvEfJw3Ah2ep6wRWZ6iQ==" workbookSaltValue="ECytbGJ0MjDMRWr9Io4f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BF17" i="8" l="1"/>
  <c r="L17" i="14"/>
  <c r="BF16" i="8"/>
  <c r="J16" i="7" s="1"/>
  <c r="T31" i="8"/>
  <c r="BD9" i="8"/>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S13" i="17" s="1"/>
  <c r="P13" i="14"/>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16"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<sst xmlns="http://schemas.openxmlformats.org/spreadsheetml/2006/main" count="2654" uniqueCount="1185">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</sst>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RH2EX7ZH+MKZHR2rMDf4QFd++3UCr46yKCtS95HwT5YjHUjlEx9Bv0+Pa3KPzIjl2Stz9yOgWePoreb62Lxzw==" saltValue="Ynr8NGrICX6FWBr+9YTj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28.51349765258216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24</v>
      </c>
      <c r="F10" s="240">
        <f>IF(ISNUMBER(Datos!K10),Datos!K10," - ")</f>
        <v>16</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0.17391304347826086</v>
      </c>
      <c r="L10" s="1402">
        <f>IF(ISNUMBER(NºAsuntos!I10/NºAsuntos!G10),(NºAsuntos!I10/NºAsuntos!G10)*11," - ")</f>
        <v>37.125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24</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1202</v>
      </c>
      <c r="D16" s="239">
        <f>IF(ISNUMBER(IF(D_I="SI",Datos!I16,Datos!I16+Datos!AC16)),IF(D_I="SI",Datos!I16,Datos!I16+Datos!AC16)," - ")</f>
        <v>1148</v>
      </c>
      <c r="E16" s="240">
        <f>IF(ISNUMBER(IF(D_I="SI",Datos!J16,Datos!J16+Datos!AD16)),IF(D_I="SI",Datos!J16,Datos!J16+Datos!AD16)," - ")</f>
        <v>2072</v>
      </c>
      <c r="F16" s="240">
        <f>IF(ISNUMBER(IF(D_I="SI",Datos!K16,Datos!K16+Datos!AE16)),IF(D_I="SI",Datos!K16,Datos!K16+Datos!AE16)," - ")</f>
        <v>1862</v>
      </c>
      <c r="G16" s="1390" t="str">
        <f>IF(Datos!E16&lt;&gt;"",Datos!E16,Datos!D16)</f>
        <v>03</v>
      </c>
      <c r="H16" s="241">
        <f>IF(ISNUMBER(IF(D_I="SI",Datos!L16,Datos!L16+Datos!AF16)),IF(D_I="SI",Datos!L16,Datos!L16+Datos!AF16)," - ")</f>
        <v>1412</v>
      </c>
      <c r="I16" s="1400" t="str">
        <f>IF(ISNUMBER(Datos!AS16/Datos!BM16),Datos!AS16/Datos!BM16," - ")</f>
        <v xml:space="preserve"> - </v>
      </c>
      <c r="J16" s="1401">
        <f>IF(ISNUMBER(Datos!BY16/Datos!CN16),Datos!BY16/Datos!CN16," - ")</f>
        <v>0</v>
      </c>
      <c r="K16" s="244">
        <f t="shared" ref="K16:K22" si="3">IF(ISNUMBER((E16-F16)/C16),(E16-F16)/C16," - ")</f>
        <v>0.17470881863560733</v>
      </c>
      <c r="L16" s="1402">
        <f>IF(ISNUMBER(NºAsuntos!I16/NºAsuntos!G16),(NºAsuntos!I16/NºAsuntos!G16)*11," - ")</f>
        <v>8.3415682062298604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98</v>
      </c>
      <c r="D18" s="239">
        <f>IF(ISNUMBER(IF(D_I="SI",Datos!I18,Datos!I18+Datos!AC18)),IF(D_I="SI",Datos!I18,Datos!I18+Datos!AC18)," - ")</f>
        <v>98</v>
      </c>
      <c r="E18" s="240">
        <f>IF(ISNUMBER(IF(D_I="SI",Datos!J18,Datos!J18+Datos!AD18)),IF(D_I="SI",Datos!J18,Datos!J18+Datos!AD18)," - ")</f>
        <v>226</v>
      </c>
      <c r="F18" s="240">
        <f>IF(ISNUMBER(IF(D_I="SI",Datos!K18,Datos!K18+Datos!AE18)),IF(D_I="SI",Datos!K18,Datos!K18+Datos!AE18)," - ")</f>
        <v>225</v>
      </c>
      <c r="G18" s="1390" t="str">
        <f>IF(Datos!E18&lt;&gt;"",Datos!E18,Datos!D18)</f>
        <v>37</v>
      </c>
      <c r="H18" s="241">
        <f>IF(ISNUMBER(IF(D_I="SI",Datos!L18,Datos!L18+Datos!AF18)),IF(D_I="SI",Datos!L18,Datos!L18+Datos!AF18)," - ")</f>
        <v>99</v>
      </c>
      <c r="I18" s="1400" t="str">
        <f>IF(ISNUMBER(Datos!AS18/Datos!BM18),Datos!AS18/Datos!BM18," - ")</f>
        <v xml:space="preserve"> - </v>
      </c>
      <c r="J18" s="1401" t="str">
        <f>IF(ISNUMBER((Datos!BY18+Datos!BZ18)/Datos!CN18),(Datos!BY18+Datos!BZ18)/Datos!CN18," - ")</f>
        <v xml:space="preserve"> - </v>
      </c>
      <c r="K18" s="244">
        <f t="shared" si="3"/>
        <v>1.020408163265306E-2</v>
      </c>
      <c r="L18" s="1402">
        <f>IF(ISNUMBER(NºAsuntos!I18/NºAsuntos!G18),(NºAsuntos!I18/NºAsuntos!G18)*11," - ")</f>
        <v>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1300</v>
      </c>
      <c r="D23" s="1407">
        <f>SUBTOTAL(9,D16:D22)</f>
        <v>1246</v>
      </c>
      <c r="E23" s="1408">
        <f>SUBTOTAL(9,E16:E22)</f>
        <v>2298</v>
      </c>
      <c r="F23" s="1408">
        <f>SUBTOTAL(9,F16:F22)</f>
        <v>2087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1346</v>
      </c>
      <c r="D31" s="1435">
        <f>SUBTOTAL(9,D9:D30)</f>
        <v>1292</v>
      </c>
      <c r="E31" s="1436">
        <f>SUBTOTAL(9,E9:E30)</f>
        <v>2322</v>
      </c>
      <c r="F31" s="1436">
        <f>SUBTOTAL(9,F9:F30)</f>
        <v>2103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qltyWrMdfih9HzIoawKui0+UCoiuHM3EACxACoxT/0/mTog8EQ0yhbP/l9eArI1LWlklPY0xZwueIuwtPJv1zw==" saltValue="866fc8XeIfH/gKpguTQ1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Hom6wmfXmpr+70xLXIBLwnKFmppZ3EeoNIRY6pNy2UmRxwpp3VfhRjSTaS+ax+6vAj0+3C0mRbDMqS+OmCPWQ==" saltValue="yB8u0sbqyxaU/eIAkqHI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3944</v>
      </c>
      <c r="J9" s="194">
        <v>1810</v>
      </c>
      <c r="K9" s="194">
        <v>1524</v>
      </c>
      <c r="L9" s="194">
        <v>4177</v>
      </c>
      <c r="M9" s="194">
        <v>301</v>
      </c>
      <c r="N9" s="194">
        <v>638</v>
      </c>
      <c r="O9" s="194">
        <v>973</v>
      </c>
      <c r="P9" s="194">
        <v>405</v>
      </c>
      <c r="Q9" s="194">
        <v>392</v>
      </c>
      <c r="R9" s="194">
        <v>7325</v>
      </c>
      <c r="S9" s="194">
        <v>3871</v>
      </c>
      <c r="T9" s="194">
        <v>1329</v>
      </c>
      <c r="U9" s="194">
        <v>1429</v>
      </c>
      <c r="V9" s="194">
        <v>3768</v>
      </c>
      <c r="W9" s="194">
        <v>284</v>
      </c>
      <c r="X9" s="201">
        <v>598</v>
      </c>
      <c r="Y9" s="204">
        <v>226</v>
      </c>
      <c r="Z9" s="194">
        <v>194</v>
      </c>
      <c r="AA9" s="194">
        <v>180</v>
      </c>
      <c r="AB9" s="194">
        <v>240</v>
      </c>
      <c r="AC9" s="194">
        <v>0</v>
      </c>
      <c r="AD9" s="194">
        <v>0</v>
      </c>
      <c r="AE9" s="194">
        <v>0</v>
      </c>
      <c r="AF9" s="201">
        <v>0</v>
      </c>
      <c r="AG9" s="204">
        <v>240</v>
      </c>
      <c r="AH9" s="194">
        <v>178</v>
      </c>
      <c r="AI9" s="194">
        <v>183</v>
      </c>
      <c r="AJ9" s="205">
        <v>235</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4111</v>
      </c>
      <c r="AZ9" s="133">
        <f>IF(ISNUMBER(IF(J_V="SI",T9,T9+AH9)),IF(J_V="SI",T9,T9+AH9)," - ")</f>
        <v>1507</v>
      </c>
      <c r="BA9" s="134">
        <f>IF(ISNUMBER(IF(J_V="SI",U9,U9+AI9)),IF(J_V="SI",U9,U9+AI9)," - ")</f>
        <v>1612</v>
      </c>
      <c r="BB9" s="134">
        <f>IF(ISNUMBER(IF(J_V="SI",V9,V9+AJ9)),IF(J_V="SI",V9,V9+AJ9)," - ")</f>
        <v>4003</v>
      </c>
      <c r="BC9" s="135">
        <f>IF(ISNUMBER(X9),X9," - ")</f>
        <v>598</v>
      </c>
      <c r="BD9" s="136">
        <f>IF(ISNUMBER(BA9/AZ9),BA9/AZ9," - ")</f>
        <v>1.0696748506967486</v>
      </c>
      <c r="BE9" s="137">
        <f>IF(ISNUMBER(BB9/BA9),BB9/BA9, " - ")</f>
        <v>2.4832506203473947</v>
      </c>
      <c r="BF9" s="137">
        <f>IF(ISNUMBER(BC9/BA9),BC9/BA9, " - ")</f>
        <v>0.37096774193548387</v>
      </c>
      <c r="BG9" s="209">
        <f>IF(ISNUMBER((AY9+AZ9)/BA9),(AY9+AZ9)/BA9," - ")</f>
        <v>3.4851116625310175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24</v>
      </c>
      <c r="K10" s="194">
        <v>16</v>
      </c>
      <c r="L10" s="194">
        <v>54</v>
      </c>
      <c r="M10" s="194">
        <v>6</v>
      </c>
      <c r="N10" s="194">
        <v>6</v>
      </c>
      <c r="O10" s="194">
        <v>6</v>
      </c>
      <c r="P10" s="194">
        <v>6</v>
      </c>
      <c r="Q10" s="194">
        <v>2</v>
      </c>
      <c r="R10" s="194">
        <v>60</v>
      </c>
      <c r="S10" s="194">
        <v>47</v>
      </c>
      <c r="T10" s="194">
        <v>14</v>
      </c>
      <c r="U10" s="194">
        <v>21</v>
      </c>
      <c r="V10" s="194">
        <v>40</v>
      </c>
      <c r="W10" s="194">
        <v>13</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47</v>
      </c>
      <c r="AZ10" s="139">
        <f t="shared" si="0"/>
        <v>14</v>
      </c>
      <c r="BA10" s="139">
        <f t="shared" si="0"/>
        <v>21</v>
      </c>
      <c r="BB10" s="139">
        <f t="shared" si="0"/>
        <v>40</v>
      </c>
      <c r="BC10" s="135">
        <f t="shared" si="0"/>
        <v>13</v>
      </c>
      <c r="BD10" s="136">
        <f>IF(ISNUMBER(BA10/AZ10),BA10/AZ10," - ")</f>
        <v>1.5</v>
      </c>
      <c r="BE10" s="137">
        <f>IF(ISNUMBER(BB10/BA10),BB10/BA10, " - ")</f>
        <v>1.9047619047619047</v>
      </c>
      <c r="BF10" s="137">
        <f>IF(ISNUMBER(BC10/BA10),BC10/BA10, " - ")</f>
        <v>0.61904761904761907</v>
      </c>
      <c r="BG10" s="209">
        <f>IF(ISNUMBER((AY10+AZ10)/BA10),(AY10+AZ10)/BA10," - ")</f>
        <v>2.9047619047619047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v>
      </c>
      <c r="J12" s="196">
        <v>0</v>
      </c>
      <c r="K12" s="196">
        <v>1</v>
      </c>
      <c r="L12" s="196">
        <v>1</v>
      </c>
      <c r="M12" s="196">
        <v>0</v>
      </c>
      <c r="N12" s="196">
        <v>0</v>
      </c>
      <c r="O12" s="194">
        <v>0</v>
      </c>
      <c r="P12" s="196">
        <v>0</v>
      </c>
      <c r="Q12" s="196">
        <v>0</v>
      </c>
      <c r="R12" s="196">
        <v>96</v>
      </c>
      <c r="S12" s="196">
        <v>1</v>
      </c>
      <c r="T12" s="196">
        <v>1</v>
      </c>
      <c r="U12" s="196">
        <v>0</v>
      </c>
      <c r="V12" s="196">
        <v>2</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1</v>
      </c>
      <c r="BA12" s="137">
        <f t="shared" si="1"/>
        <v>0</v>
      </c>
      <c r="BB12" s="137">
        <f t="shared" si="1"/>
        <v>2</v>
      </c>
      <c r="BC12" s="135">
        <f>IF(ISNUMBER(X12),X12," - ")</f>
        <v>0</v>
      </c>
      <c r="BD12" s="136">
        <f t="shared" si="2"/>
        <v>0</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3992</v>
      </c>
      <c r="J14" s="197">
        <f t="shared" si="7"/>
        <v>1834</v>
      </c>
      <c r="K14" s="197">
        <f t="shared" si="7"/>
        <v>1541</v>
      </c>
      <c r="L14" s="197">
        <f t="shared" si="7"/>
        <v>4232</v>
      </c>
      <c r="M14" s="197">
        <f t="shared" si="7"/>
        <v>307</v>
      </c>
      <c r="N14" s="197">
        <f t="shared" si="7"/>
        <v>644</v>
      </c>
      <c r="O14" s="197">
        <f t="shared" si="7"/>
        <v>979</v>
      </c>
      <c r="P14" s="197">
        <f t="shared" si="7"/>
        <v>411</v>
      </c>
      <c r="Q14" s="197">
        <f t="shared" si="7"/>
        <v>394</v>
      </c>
      <c r="R14" s="197">
        <f t="shared" si="7"/>
        <v>7481</v>
      </c>
      <c r="S14" s="197">
        <f t="shared" si="7"/>
        <v>3919</v>
      </c>
      <c r="T14" s="197">
        <f t="shared" si="7"/>
        <v>1344</v>
      </c>
      <c r="U14" s="197">
        <f t="shared" si="7"/>
        <v>1450</v>
      </c>
      <c r="V14" s="197">
        <f t="shared" si="7"/>
        <v>3810</v>
      </c>
      <c r="W14" s="197">
        <f t="shared" si="7"/>
        <v>297</v>
      </c>
      <c r="X14" s="197">
        <f t="shared" si="7"/>
        <v>607</v>
      </c>
      <c r="Y14" s="197">
        <f t="shared" si="7"/>
        <v>226</v>
      </c>
      <c r="Z14" s="197">
        <f t="shared" si="7"/>
        <v>194</v>
      </c>
      <c r="AA14" s="197">
        <f t="shared" si="7"/>
        <v>180</v>
      </c>
      <c r="AB14" s="197">
        <f t="shared" si="7"/>
        <v>240</v>
      </c>
      <c r="AC14" s="197">
        <f t="shared" si="7"/>
        <v>0</v>
      </c>
      <c r="AD14" s="197">
        <f t="shared" si="7"/>
        <v>0</v>
      </c>
      <c r="AE14" s="197">
        <f t="shared" si="7"/>
        <v>0</v>
      </c>
      <c r="AF14" s="197">
        <f>SUBTOTAL(9,AF9:AF13)</f>
        <v>0</v>
      </c>
      <c r="AG14" s="197">
        <f t="shared" ref="AG14:AT14" si="8">SUBTOTAL(9,AG8:AG13)</f>
        <v>240</v>
      </c>
      <c r="AH14" s="197">
        <f t="shared" si="8"/>
        <v>178</v>
      </c>
      <c r="AI14" s="197">
        <f t="shared" si="8"/>
        <v>183</v>
      </c>
      <c r="AJ14" s="197">
        <f t="shared" si="8"/>
        <v>235</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4159</v>
      </c>
      <c r="AZ14" s="197">
        <f>SUBTOTAL(9,AZ8:AZ13)</f>
        <v>1522</v>
      </c>
      <c r="BA14" s="197">
        <f>SUBTOTAL(9,BA8:BA13)</f>
        <v>1633</v>
      </c>
      <c r="BB14" s="197">
        <f>SUBTOTAL(9,BB8:BB13)</f>
        <v>4045</v>
      </c>
      <c r="BC14" s="197">
        <f>SUBTOTAL(9,BC8:BC13)</f>
        <v>611</v>
      </c>
      <c r="BD14" s="219">
        <f>IF(ISNUMBER(BA14/AZ14),BA14/AZ14," - ")</f>
        <v>1.0729303547963207</v>
      </c>
      <c r="BE14" s="220">
        <f>IF(ISNUMBER(BB14/BA14),BB14/BA14, " - ")</f>
        <v>2.4770361298224128</v>
      </c>
      <c r="BF14" s="220">
        <f>IF(ISNUMBER(BC14/BA14),BC14/BA14, " - ")</f>
        <v>0.37415799142682182</v>
      </c>
      <c r="BG14" s="221">
        <f>IF(ISNUMBER((AY14+AZ14)/BA14),(AY14+AZ14)/BA14," - ")</f>
        <v>3.4788732394366195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1148</v>
      </c>
      <c r="J16" s="196">
        <v>2072</v>
      </c>
      <c r="K16" s="196">
        <v>1862</v>
      </c>
      <c r="L16" s="196">
        <v>1412</v>
      </c>
      <c r="M16" s="196">
        <v>277</v>
      </c>
      <c r="N16" s="196">
        <v>1069</v>
      </c>
      <c r="O16" s="194">
        <v>66</v>
      </c>
      <c r="P16" s="196">
        <v>86</v>
      </c>
      <c r="Q16" s="196">
        <v>79</v>
      </c>
      <c r="R16" s="196">
        <v>301</v>
      </c>
      <c r="S16" s="196">
        <v>1369</v>
      </c>
      <c r="T16" s="196">
        <v>2085</v>
      </c>
      <c r="U16" s="196">
        <v>1898</v>
      </c>
      <c r="V16" s="196">
        <v>1215</v>
      </c>
      <c r="W16" s="196">
        <v>292</v>
      </c>
      <c r="X16" s="202">
        <v>1093</v>
      </c>
      <c r="Y16" s="215">
        <v>0</v>
      </c>
      <c r="Z16" s="196">
        <v>0</v>
      </c>
      <c r="AA16" s="196">
        <v>0</v>
      </c>
      <c r="AB16" s="196">
        <v>0</v>
      </c>
      <c r="AC16" s="196">
        <v>0</v>
      </c>
      <c r="AD16" s="196">
        <v>31</v>
      </c>
      <c r="AE16" s="196">
        <v>31</v>
      </c>
      <c r="AF16" s="202">
        <v>0</v>
      </c>
      <c r="AG16" s="215">
        <v>0</v>
      </c>
      <c r="AH16" s="196">
        <v>0</v>
      </c>
      <c r="AI16" s="196">
        <v>0</v>
      </c>
      <c r="AJ16" s="216">
        <v>0</v>
      </c>
      <c r="AK16" s="195">
        <v>0</v>
      </c>
      <c r="AL16" s="196">
        <v>26</v>
      </c>
      <c r="AM16" s="196">
        <v>26</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1369</v>
      </c>
      <c r="AZ16" s="139">
        <f t="shared" si="10"/>
        <v>2085</v>
      </c>
      <c r="BA16" s="139">
        <f t="shared" si="10"/>
        <v>1898</v>
      </c>
      <c r="BB16" s="139">
        <f t="shared" si="10"/>
        <v>1215</v>
      </c>
      <c r="BC16" s="135">
        <f>IF(ISNUMBER(W16),W16," - ")</f>
        <v>292</v>
      </c>
      <c r="BD16" s="136">
        <f>IF(ISNUMBER(BA16/AZ16),BA16/AZ16," - ")</f>
        <v>0.91031175059952041</v>
      </c>
      <c r="BE16" s="137">
        <f>IF(ISNUMBER(BB16/BA16),BB16/BA16, " - ")</f>
        <v>0.6401475237091675</v>
      </c>
      <c r="BF16" s="137">
        <f>IF(ISNUMBER(BC16/BA16),BC16/BA16, " - ")</f>
        <v>0.15384615384615385</v>
      </c>
      <c r="BG16" s="209">
        <f t="shared" ref="BG16:BG22" si="11">IF(ISNUMBER((AY16+AZ16)/BA16),(AY16+AZ16)/BA16," - ")</f>
        <v>1.8198103266596417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98</v>
      </c>
      <c r="J18" s="196">
        <v>226</v>
      </c>
      <c r="K18" s="196">
        <v>225</v>
      </c>
      <c r="L18" s="196">
        <v>99</v>
      </c>
      <c r="M18" s="196">
        <v>74</v>
      </c>
      <c r="N18" s="196">
        <v>158</v>
      </c>
      <c r="O18" s="196">
        <v>5</v>
      </c>
      <c r="P18" s="196">
        <v>14</v>
      </c>
      <c r="Q18" s="196">
        <v>5</v>
      </c>
      <c r="R18" s="196">
        <v>10</v>
      </c>
      <c r="S18" s="196">
        <v>69</v>
      </c>
      <c r="T18" s="196">
        <v>225</v>
      </c>
      <c r="U18" s="196">
        <v>196</v>
      </c>
      <c r="V18" s="196">
        <v>98</v>
      </c>
      <c r="W18" s="196">
        <v>56</v>
      </c>
      <c r="X18" s="202">
        <v>139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69</v>
      </c>
      <c r="AZ18" s="139">
        <f t="shared" si="15"/>
        <v>225</v>
      </c>
      <c r="BA18" s="139">
        <f t="shared" si="15"/>
        <v>196</v>
      </c>
      <c r="BB18" s="139">
        <f t="shared" si="15"/>
        <v>98</v>
      </c>
      <c r="BC18" s="135">
        <f>IF(ISNUMBER(W18),W18," - ")</f>
        <v>56</v>
      </c>
      <c r="BD18" s="136">
        <f>IF(ISNUMBER(BA18/AZ18),BA18/AZ18," - ")</f>
        <v>0.87111111111111106</v>
      </c>
      <c r="BE18" s="137">
        <f>IF(ISNUMBER(BB18/BA18),BB18/BA18, " - ")</f>
        <v>0.5</v>
      </c>
      <c r="BF18" s="137">
        <f>IF(ISNUMBER(BC18/BA18),BC18/BA18, " - ")</f>
        <v>0.2857142857142857</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1246</v>
      </c>
      <c r="J23" s="197">
        <f t="shared" si="21"/>
        <v>2298</v>
      </c>
      <c r="K23" s="197">
        <f t="shared" si="21"/>
        <v>2087</v>
      </c>
      <c r="L23" s="197">
        <f t="shared" si="21"/>
        <v>1511</v>
      </c>
      <c r="M23" s="197">
        <f t="shared" si="21"/>
        <v>351</v>
      </c>
      <c r="N23" s="197">
        <f t="shared" si="21"/>
        <v>1227</v>
      </c>
      <c r="O23" s="197">
        <f t="shared" si="21"/>
        <v>71</v>
      </c>
      <c r="P23" s="197">
        <f t="shared" si="21"/>
        <v>100</v>
      </c>
      <c r="Q23" s="197">
        <f t="shared" si="21"/>
        <v>84</v>
      </c>
      <c r="R23" s="197">
        <f t="shared" si="21"/>
        <v>311</v>
      </c>
      <c r="S23" s="197">
        <f t="shared" si="21"/>
        <v>1440</v>
      </c>
      <c r="T23" s="197">
        <f t="shared" si="21"/>
        <v>2310</v>
      </c>
      <c r="U23" s="197">
        <f t="shared" si="21"/>
        <v>2094</v>
      </c>
      <c r="V23" s="197">
        <f t="shared" si="21"/>
        <v>1315</v>
      </c>
      <c r="W23" s="197">
        <f t="shared" si="21"/>
        <v>348</v>
      </c>
      <c r="X23" s="197">
        <f t="shared" si="21"/>
        <v>1232</v>
      </c>
      <c r="Y23" s="197">
        <f t="shared" si="21"/>
        <v>0</v>
      </c>
      <c r="Z23" s="197">
        <f t="shared" si="21"/>
        <v>0</v>
      </c>
      <c r="AA23" s="197">
        <f t="shared" si="21"/>
        <v>0</v>
      </c>
      <c r="AB23" s="197">
        <f t="shared" si="21"/>
        <v>0</v>
      </c>
      <c r="AC23" s="197">
        <f t="shared" si="21"/>
        <v>0</v>
      </c>
      <c r="AD23" s="197">
        <f t="shared" si="21"/>
        <v>31</v>
      </c>
      <c r="AE23" s="197">
        <f t="shared" si="21"/>
        <v>31</v>
      </c>
      <c r="AF23" s="197">
        <f t="shared" si="21"/>
        <v>0</v>
      </c>
      <c r="AG23" s="197">
        <f t="shared" si="21"/>
        <v>0</v>
      </c>
      <c r="AH23" s="197">
        <f t="shared" si="21"/>
        <v>0</v>
      </c>
      <c r="AI23" s="197">
        <f t="shared" si="21"/>
        <v>0</v>
      </c>
      <c r="AJ23" s="197">
        <f t="shared" si="21"/>
        <v>0</v>
      </c>
      <c r="AK23" s="197">
        <f t="shared" si="21"/>
        <v>0</v>
      </c>
      <c r="AL23" s="197">
        <f t="shared" si="21"/>
        <v>26</v>
      </c>
      <c r="AM23" s="197">
        <f t="shared" si="21"/>
        <v>26</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1440</v>
      </c>
      <c r="AZ23" s="197">
        <f>SUBTOTAL(9,AZ15:AZ22)</f>
        <v>2310</v>
      </c>
      <c r="BA23" s="197">
        <f>SUBTOTAL(9,BA15:BA22)</f>
        <v>2094</v>
      </c>
      <c r="BB23" s="197">
        <f>SUBTOTAL(9,BB15:BB22)</f>
        <v>1315</v>
      </c>
      <c r="BC23" s="197">
        <f>SUBTOTAL(9,BC15:BC22)</f>
        <v>348</v>
      </c>
      <c r="BD23" s="219">
        <f>IF(ISNUMBER(BA23/AZ23),BA23/AZ23," - ")</f>
        <v>0.90649350649350646</v>
      </c>
      <c r="BE23" s="220">
        <f>IF(ISNUMBER(BB23/BA23),BB23/BA23, " - ")</f>
        <v>0.62798471824259794</v>
      </c>
      <c r="BF23" s="220">
        <f>IF(ISNUMBER(BC23/BA23),BC23/BA23, " - ")</f>
        <v>0.166189111747851</v>
      </c>
      <c r="BG23" s="221">
        <f>IF(ISNUMBER((AY23+AZ23)/BA23),(AY23+AZ23)/BA23," - ")</f>
        <v>1.7908309455587392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5238</v>
      </c>
      <c r="J31" s="144">
        <f t="shared" si="36"/>
        <v>4132</v>
      </c>
      <c r="K31" s="144">
        <f t="shared" si="36"/>
        <v>3628</v>
      </c>
      <c r="L31" s="144">
        <f t="shared" si="36"/>
        <v>5743</v>
      </c>
      <c r="M31" s="144">
        <f t="shared" si="36"/>
        <v>658</v>
      </c>
      <c r="N31" s="144">
        <f t="shared" si="36"/>
        <v>1871</v>
      </c>
      <c r="O31" s="144">
        <f t="shared" si="36"/>
        <v>1050</v>
      </c>
      <c r="P31" s="144">
        <f t="shared" si="36"/>
        <v>511</v>
      </c>
      <c r="Q31" s="144">
        <f t="shared" si="36"/>
        <v>478</v>
      </c>
      <c r="R31" s="144">
        <f t="shared" si="36"/>
        <v>7792</v>
      </c>
      <c r="S31" s="144">
        <f t="shared" si="36"/>
        <v>5359</v>
      </c>
      <c r="T31" s="144">
        <f t="shared" si="36"/>
        <v>3654</v>
      </c>
      <c r="U31" s="144">
        <f t="shared" si="36"/>
        <v>3544</v>
      </c>
      <c r="V31" s="144">
        <f t="shared" si="36"/>
        <v>5125</v>
      </c>
      <c r="W31" s="144">
        <f t="shared" si="36"/>
        <v>645</v>
      </c>
      <c r="X31" s="144">
        <f t="shared" si="36"/>
        <v>1839</v>
      </c>
      <c r="Y31" s="144">
        <f t="shared" si="36"/>
        <v>226</v>
      </c>
      <c r="Z31" s="144">
        <f t="shared" si="36"/>
        <v>194</v>
      </c>
      <c r="AA31" s="144">
        <f t="shared" si="36"/>
        <v>180</v>
      </c>
      <c r="AB31" s="144">
        <f t="shared" si="36"/>
        <v>240</v>
      </c>
      <c r="AC31" s="144">
        <f t="shared" si="36"/>
        <v>0</v>
      </c>
      <c r="AD31" s="144">
        <f t="shared" si="36"/>
        <v>31</v>
      </c>
      <c r="AE31" s="144">
        <f t="shared" si="36"/>
        <v>31</v>
      </c>
      <c r="AF31" s="144">
        <f t="shared" si="36"/>
        <v>0</v>
      </c>
      <c r="AG31" s="144">
        <f t="shared" si="36"/>
        <v>240</v>
      </c>
      <c r="AH31" s="144">
        <f t="shared" si="36"/>
        <v>178</v>
      </c>
      <c r="AI31" s="144">
        <f t="shared" si="36"/>
        <v>183</v>
      </c>
      <c r="AJ31" s="144">
        <f t="shared" si="36"/>
        <v>235</v>
      </c>
      <c r="AK31" s="144">
        <f t="shared" si="36"/>
        <v>0</v>
      </c>
      <c r="AL31" s="144">
        <f t="shared" si="36"/>
        <v>26</v>
      </c>
      <c r="AM31" s="144">
        <f t="shared" si="36"/>
        <v>26</v>
      </c>
      <c r="AN31" s="224">
        <f t="shared" si="36"/>
        <v>0</v>
      </c>
      <c r="AO31" s="225">
        <v>10</v>
      </c>
      <c r="AP31" s="225">
        <v>10</v>
      </c>
      <c r="AQ31" s="225">
        <v>10</v>
      </c>
      <c r="AR31" s="225">
        <v>10</v>
      </c>
      <c r="AS31" s="166">
        <f t="shared" si="36"/>
        <v>0</v>
      </c>
      <c r="AT31" s="166">
        <f t="shared" si="36"/>
        <v>0</v>
      </c>
      <c r="AU31" s="225"/>
      <c r="AV31" s="226"/>
      <c r="AW31" s="225"/>
      <c r="AX31" s="226"/>
      <c r="AY31" s="143">
        <f>SUBTOTAL(9,AY9:AY30)</f>
        <v>5599</v>
      </c>
      <c r="AZ31" s="144">
        <f>SUBTOTAL(9,AZ9:AZ30)</f>
        <v>3832</v>
      </c>
      <c r="BA31" s="144">
        <f>SUBTOTAL(9,BA9:BA30)</f>
        <v>3727</v>
      </c>
      <c r="BB31" s="144">
        <f>SUBTOTAL(9,BB9:BB30)</f>
        <v>5360</v>
      </c>
      <c r="BC31" s="145">
        <f>SUBTOTAL(9,BC9:BC30)</f>
        <v>959</v>
      </c>
      <c r="BD31" s="227">
        <f>IF(ISNUMBER(BA31/AZ31),BA31/AZ31," - ")</f>
        <v>0.9725991649269311</v>
      </c>
      <c r="BE31" s="224">
        <f>IF(ISNUMBER(BB31/BA31),BB31/BA31, " - ")</f>
        <v>1.4381540112691173</v>
      </c>
      <c r="BF31" s="224">
        <f>IF(ISNUMBER(BC31/BA31),BC31/BA31, " - ")</f>
        <v>0.25731151059833646</v>
      </c>
      <c r="BG31" s="145">
        <f>IF(ISNUMBER((AY31+AZ31)/BA31),(AY31+AZ31)/BA31," - ")</f>
        <v>2.5304534478132545</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d9Iz48tRtaVBTEf+9vCN152RRjo4WO4aBIXsD3iDI7cbDKn7EHa9YsI7xJi7KnQLHCsn19bsBT04NvmK+NxKw==" saltValue="7fHCA9lV47rt1Y5D0ftX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PsORvXk0mECZasz4KS8mb9xjYd8QDznVxZWNp/mbT5LRYclXUBOVKWhGklnKmIzzEy4vTvQYSfxlk2DZg4baQ==" saltValue="KOmN0FObRqHZnWmh/827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GANDIA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194</v>
      </c>
      <c r="O9" s="549"/>
      <c r="P9" s="549"/>
      <c r="Q9" s="547">
        <f>IF(ISNUMBER(Datos!P9),Datos!P9,0)</f>
        <v>405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392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240</v>
      </c>
      <c r="AI9" s="549" t="str">
        <f>IF(ISNUMBER(Datos!CD9),Datos!CD9,"-")</f>
        <v>-</v>
      </c>
      <c r="AJ9" s="549" t="str">
        <f>IF(ISNUMBER(Datos!EN9),Datos!EN9," - ")</f>
        <v xml:space="preserve"> - </v>
      </c>
      <c r="AK9" s="549"/>
      <c r="AL9" s="550"/>
      <c r="AM9" s="766">
        <f>IF(ISNUMBER(Datos!R9),Datos!R9," - ")</f>
        <v>7325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301</v>
      </c>
      <c r="BD9" s="693">
        <f>IF(ISNUMBER(Datos!N9),Datos!N9," - ")</f>
        <v>638</v>
      </c>
      <c r="BE9" s="693" t="str">
        <f>IF(ISNUMBER(Datos!BW9),Datos!BW9," - ")</f>
        <v xml:space="preserve"> - </v>
      </c>
      <c r="BF9" s="762" t="str">
        <f>IF(ISNUMBER(Datos!BX9),Datos!BX9," - ")</f>
        <v xml:space="preserve"> - </v>
      </c>
      <c r="BG9" s="763">
        <f>IF(ISNUMBER(IF(J_V="SI",Datos!K9/Datos!J9,(Datos!K9+Datos!AA9)/(Datos!J9+Datos!Z9))),IF(J_V="SI",Datos!K9/Datos!J9,(Datos!K9+Datos!AA9)/(Datos!J9+Datos!Z9))," - ")</f>
        <v>0.85029940119760483</v>
      </c>
      <c r="BH9" s="764">
        <f>IF(ISNUMBER(((IF(J_V="SI",Datos!L9/Datos!K9,(Datos!L9+Datos!AB9)/(Datos!K9+Datos!AA9)))*11)/factor_trimestre),((IF(J_V="SI",Datos!L9/Datos!K9,(Datos!L9+Datos!AB9)/(Datos!K9+Datos!AA9)))*11)/factor_trimestre," - ")</f>
        <v>5.184272300469484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1.7778993435448578E-3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2</v>
      </c>
      <c r="AD10" s="549"/>
      <c r="AE10" s="563"/>
      <c r="AF10" s="551">
        <f>IF(ISNUMBER(Datos!L10),Datos!L10,"-")</f>
        <v>54</v>
      </c>
      <c r="AG10" s="549"/>
      <c r="AH10" s="549"/>
      <c r="AI10" s="549"/>
      <c r="AJ10" s="549"/>
      <c r="AK10" s="549"/>
      <c r="AL10" s="550"/>
      <c r="AM10" s="766">
        <f>IF(ISNUMBER(Datos!R10),Datos!R10," - ")</f>
        <v>60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6</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6.75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7.1428571428571425E-2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194</v>
      </c>
      <c r="O14" s="1199">
        <f t="shared" si="1"/>
        <v>0</v>
      </c>
      <c r="P14" s="1199">
        <f t="shared" si="1"/>
        <v>0</v>
      </c>
      <c r="Q14" s="1198">
        <f t="shared" si="1"/>
        <v>411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394</v>
      </c>
      <c r="AD14" s="1198">
        <f t="shared" si="2"/>
        <v>0</v>
      </c>
      <c r="AE14" s="1198">
        <f t="shared" si="2"/>
        <v>0</v>
      </c>
      <c r="AF14" s="1198">
        <f t="shared" si="2"/>
        <v>54</v>
      </c>
      <c r="AG14" s="1198">
        <f t="shared" si="2"/>
        <v>0</v>
      </c>
      <c r="AH14" s="1198">
        <f t="shared" si="2"/>
        <v>240</v>
      </c>
      <c r="AI14" s="1198">
        <f t="shared" si="2"/>
        <v>0</v>
      </c>
      <c r="AJ14" s="1198">
        <f t="shared" si="2"/>
        <v>0</v>
      </c>
      <c r="AK14" s="1198">
        <f t="shared" si="2"/>
        <v>0</v>
      </c>
      <c r="AL14" s="1198">
        <f t="shared" si="2"/>
        <v>0</v>
      </c>
      <c r="AM14" s="1198">
        <f t="shared" si="2"/>
        <v>7481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307</v>
      </c>
      <c r="BD14" s="1198">
        <f t="shared" si="2"/>
        <v>644</v>
      </c>
      <c r="BE14" s="1198">
        <f t="shared" si="2"/>
        <v>0</v>
      </c>
      <c r="BF14" s="1198">
        <f t="shared" si="2"/>
        <v>0</v>
      </c>
      <c r="BG14" s="1198">
        <f>IF(ISNUMBER(Datos!K14/Datos!J14),Datos!K14/Datos!J14," - ")</f>
        <v>0.84023991275899668</v>
      </c>
      <c r="BH14" s="1202">
        <f>IF(ISNUMBER(((Datos!L14/Datos!K14)*11)/factor_trimestre),((Datos!L14/Datos!K14)*11)/factor_trimestre," - ")</f>
        <v>5.4925373134328357</v>
      </c>
      <c r="BI14" s="1198">
        <f>IF(ISNUMBER('Resol  Asuntos'!D14/NºAsuntos!G14),'Resol  Asuntos'!D14/NºAsuntos!G14," - ")</f>
        <v>0.17838466008134804</v>
      </c>
      <c r="BJ14" s="1198" t="str">
        <f>IF(ISNUMBER(Datos!CI14/Datos!CJ14),Datos!CI14/Datos!CJ14," - ")</f>
        <v xml:space="preserve"> - </v>
      </c>
      <c r="BK14" s="1198">
        <f>SUBTOTAL(9,BK8:BK13)</f>
        <v>0</v>
      </c>
      <c r="BL14" s="1198">
        <f>IF(ISNUMBER((I14-AB14+L14)/(F14)),(I14-AB14+L14)/(F14)," - ")</f>
        <v>-0.34782608695652173</v>
      </c>
      <c r="BM14" s="1203">
        <f>SUBTOTAL(9,BM9:BM13)</f>
        <v>7.3206470772116283E-2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1202</v>
      </c>
      <c r="G16" s="743">
        <f>IF(ISNUMBER(IF(D_I="SI",Datos!I16,Datos!I16+Datos!AC16)),IF(D_I="SI",Datos!I16,Datos!I16+Datos!AC16)," - ")</f>
        <v>1148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1862</v>
      </c>
      <c r="AC16" s="240">
        <f>IF(ISNUMBER(Datos!Q16),Datos!Q16," - ")</f>
        <v>79</v>
      </c>
      <c r="AD16" s="374"/>
      <c r="AE16" s="562"/>
      <c r="AF16" s="741">
        <f>IF(ISNUMBER(IF(D_I="SI",Datos!L16,Datos!L16+Datos!AF16)),IF(D_I="SI",Datos!L16,Datos!L16+Datos!AF16)," - ")</f>
        <v>1412</v>
      </c>
      <c r="AG16" s="374"/>
      <c r="AH16" s="374"/>
      <c r="AI16" s="374"/>
      <c r="AJ16" s="549"/>
      <c r="AK16" s="374"/>
      <c r="AL16" s="545"/>
      <c r="AM16" s="375">
        <f>IF(ISNUMBER(Datos!R16),Datos!R16," - ")</f>
        <v>301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277</v>
      </c>
      <c r="BD16" s="243">
        <f>IF(ISNUMBER(Datos!N16),Datos!N16," - ")</f>
        <v>1069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0.89864864864864868</v>
      </c>
      <c r="BH16" s="764">
        <f>IF(ISNUMBER(((IF(D_I="SI",Datos!L16/Datos!K16,(Datos!L16+Datos!AF16)/(Datos!K16+Datos!AE16)))*11)/factor_trimestre),((IF(D_I="SI",Datos!L16/Datos!K16,(Datos!L16+Datos!AF16)/(Datos!K16+Datos!AE16)))*11)/factor_trimestre," - ")</f>
        <v>1.5166487647690656</v>
      </c>
      <c r="BI16" s="266">
        <f>IF(ISNUMBER('Resol  Asuntos'!D16/NºAsuntos!G16),'Resol  Asuntos'!D16/NºAsuntos!G16," - ")</f>
        <v>0.14876476906552094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225</v>
      </c>
      <c r="AC18" s="547">
        <f>IF(ISNUMBER(Datos!Q18),Datos!Q18," - ")</f>
        <v>5</v>
      </c>
      <c r="AD18" s="549"/>
      <c r="AE18" s="562"/>
      <c r="AF18" s="551">
        <f>IF(ISNUMBER(Datos!L18),Datos!L18,"-")</f>
        <v>99</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74</v>
      </c>
      <c r="BD18" s="693">
        <f>IF(ISNUMBER(Datos!N18),Datos!N18," - ")</f>
        <v>158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0.99557522123893805</v>
      </c>
      <c r="BH18" s="764">
        <f>IF(ISNUMBER(((IF(D_I="SI",Datos!L18/Datos!K18,(Datos!L18+Datos!AF18)/(Datos!K18+Datos!AE18)))*11)/factor_trimestre),((IF(D_I="SI",Datos!L18/Datos!K18,(Datos!L18+Datos!AF18)/(Datos!K18+Datos!AE18)))*11)/factor_trimestre," - ")</f>
        <v>0.88</v>
      </c>
      <c r="BI18" s="763">
        <f>IF(ISNUMBER('Resol  Asuntos'!D18/NºAsuntos!G18),'Resol  Asuntos'!D18/NºAsuntos!G18," - ")</f>
        <v>0.3288888888888889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1202</v>
      </c>
      <c r="G23" s="1197">
        <f>SUBTOTAL(9,G16:G22)</f>
        <v>1246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2087</v>
      </c>
      <c r="AC23" s="1198">
        <f t="shared" si="5"/>
        <v>84</v>
      </c>
      <c r="AD23" s="1198">
        <f t="shared" si="5"/>
        <v>0</v>
      </c>
      <c r="AE23" s="1198">
        <f t="shared" si="5"/>
        <v>0</v>
      </c>
      <c r="AF23" s="1198">
        <f t="shared" si="5"/>
        <v>1511</v>
      </c>
      <c r="AG23" s="1198">
        <f t="shared" si="5"/>
        <v>0</v>
      </c>
      <c r="AH23" s="1198">
        <f t="shared" si="5"/>
        <v>0</v>
      </c>
      <c r="AI23" s="1198">
        <f t="shared" si="5"/>
        <v>0</v>
      </c>
      <c r="AJ23" s="1198">
        <f t="shared" si="5"/>
        <v>0</v>
      </c>
      <c r="AK23" s="1198">
        <f t="shared" si="5"/>
        <v>0</v>
      </c>
      <c r="AL23" s="1198">
        <f t="shared" si="5"/>
        <v>0</v>
      </c>
      <c r="AM23" s="1198">
        <f t="shared" si="5"/>
        <v>311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351</v>
      </c>
      <c r="BD23" s="1198">
        <f t="shared" si="5"/>
        <v>1227</v>
      </c>
      <c r="BE23" s="1198">
        <f t="shared" si="5"/>
        <v>0</v>
      </c>
      <c r="BF23" s="1198">
        <f t="shared" si="5"/>
        <v>0</v>
      </c>
      <c r="BG23" s="1198">
        <f>IF(ISNUMBER(Datos!K23/Datos!J23),Datos!K23/Datos!J23," - ")</f>
        <v>0.9081810269799826</v>
      </c>
      <c r="BH23" s="1202">
        <f>IF(ISNUMBER(((Datos!L23/Datos!K23)*11)/factor_trimestre),((Datos!L23/Datos!K23)*11)/factor_trimestre," - ")</f>
        <v>1.4480114997604216</v>
      </c>
      <c r="BI23" s="1198">
        <f>SUBTOTAL(9,BI16:BI22)</f>
        <v>0.47765365795440984</v>
      </c>
      <c r="BJ23" s="1198">
        <f>SUBTOTAL(9,BJ16:BJ22)</f>
        <v>0</v>
      </c>
      <c r="BK23" s="1198">
        <f>SUBTOTAL(9,BK16:BK22)</f>
        <v>0</v>
      </c>
      <c r="BL23" s="1198">
        <f>IF(ISNUMBER((I23-AB23+L23)/(F23)),(I23-AB23+L23)/(F23)," - ")</f>
        <v>-1.7362728785357737</v>
      </c>
      <c r="BM23" s="1205">
        <f>IF(ISNUMBER((Datos!P23-Datos!Q23)/(Datos!R23-Datos!P23+Datos!Q23)),(Datos!P23-Datos!Q23)/(Datos!R23-Datos!P23+Datos!Q23)," - ")</f>
        <v>5.4237288135593219E-2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1248</v>
      </c>
      <c r="G31" s="1117">
        <f t="shared" si="18"/>
        <v>1292</v>
      </c>
      <c r="H31" s="1119">
        <f t="shared" si="18"/>
        <v>0</v>
      </c>
      <c r="I31" s="1117">
        <f t="shared" si="18"/>
        <v>0</v>
      </c>
      <c r="J31" s="1119">
        <f t="shared" si="18"/>
        <v>0</v>
      </c>
      <c r="K31" s="1119">
        <f t="shared" si="18"/>
        <v>0</v>
      </c>
      <c r="L31" s="1180">
        <f t="shared" si="18"/>
        <v>0</v>
      </c>
      <c r="M31" s="1180">
        <f t="shared" si="18"/>
        <v>0</v>
      </c>
      <c r="N31" s="1180">
        <f t="shared" si="18"/>
        <v>194</v>
      </c>
      <c r="O31" s="1180">
        <f t="shared" si="18"/>
        <v>0</v>
      </c>
      <c r="P31" s="1180">
        <f t="shared" si="18"/>
        <v>0</v>
      </c>
      <c r="Q31" s="1119">
        <f t="shared" si="18"/>
        <v>511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2103</v>
      </c>
      <c r="AC31" s="1118">
        <f t="shared" si="19"/>
        <v>478</v>
      </c>
      <c r="AD31" s="1118">
        <f t="shared" si="19"/>
        <v>0</v>
      </c>
      <c r="AE31" s="1118">
        <f t="shared" si="19"/>
        <v>0</v>
      </c>
      <c r="AF31" s="1125">
        <f t="shared" si="19"/>
        <v>1565</v>
      </c>
      <c r="AG31" s="1125">
        <f t="shared" si="19"/>
        <v>0</v>
      </c>
      <c r="AH31" s="1125">
        <f t="shared" si="19"/>
        <v>240</v>
      </c>
      <c r="AI31" s="1125">
        <f t="shared" si="19"/>
        <v>0</v>
      </c>
      <c r="AJ31" s="1118">
        <f t="shared" si="19"/>
        <v>0</v>
      </c>
      <c r="AK31" s="1125">
        <f t="shared" si="19"/>
        <v>0</v>
      </c>
      <c r="AL31" s="1125">
        <f t="shared" si="19"/>
        <v>0</v>
      </c>
      <c r="AM31" s="1125">
        <f t="shared" si="19"/>
        <v>7792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658</v>
      </c>
      <c r="BD31" s="1117">
        <f t="shared" si="19"/>
        <v>1871</v>
      </c>
      <c r="BE31" s="1117">
        <f t="shared" si="19"/>
        <v>0</v>
      </c>
      <c r="BF31" s="1127">
        <f t="shared" si="19"/>
        <v>0</v>
      </c>
      <c r="BG31" s="1223">
        <f>IF(ISNUMBER(Datos!K31/Datos!J31),Datos!K31/Datos!J31," - ")</f>
        <v>0.87802516940948694</v>
      </c>
      <c r="BH31" s="1223">
        <f>IF(ISNUMBER(((Datos!L31/Datos!K31)*11)/factor_trimestre),((Datos!L31/Datos!K31)*11)/factor_trimestre," - ")</f>
        <v>3.1659316427783897</v>
      </c>
      <c r="BI31" s="1103">
        <f>IF(ISNUMBER(Datos!J31/Datos!I31),Datos!J31/Datos!I31," - ")</f>
        <v>0.78885070637647958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-1.6850961538461537</v>
      </c>
      <c r="BM31" s="1188">
        <f>IF(ISNUMBER((Datos!P31-Datos!Q31+R31)/(Datos!R31-Datos!P31+Datos!Q31-R31)),(Datos!P31-Datos!Q31+R31)/(Datos!R31-Datos!P31+Datos!Q31-R31)," - ")</f>
        <v>4.2531254027580873E-3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577.90393006186798</v>
      </c>
      <c r="G33" s="674">
        <f>IF(ISNUMBER(STDEV(G8:G30)),STDEV(G8:G30),"-")</f>
        <v>541.1131384206343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899.40023666568254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155.31559269221276</v>
      </c>
      <c r="BD33" s="673"/>
      <c r="BE33" s="673">
        <f>IF(ISNUMBER(STDEV(BE8:BE30)),STDEV(BE8:BE30),"-")</f>
        <v>0</v>
      </c>
      <c r="BF33" s="678">
        <f>IF(ISNUMBER(STDEV(BF8:BF30)),STDEV(BF8:BF30),"-")</f>
        <v>0</v>
      </c>
      <c r="BG33" s="1052">
        <f>IF(ISNUMBER(STDEV(BG8:BG30)),STDEV(BG8:BG30),"-")</f>
        <v>0.10959752298644157</v>
      </c>
      <c r="BH33" s="1058">
        <f>IF(ISNUMBER(STDEV(BH8:BH30)),STDEV(BH8:BH30),"-")</f>
        <v>2.3948766402523534</v>
      </c>
      <c r="BI33" s="273">
        <f>IF(ISNUMBER(STDEV(BI8:BI30)),STDEV(BI8:BI30),"-")</f>
        <v>0.15161199111891885</v>
      </c>
      <c r="BJ33" s="244" t="str">
        <f>IF(ISNUMBER(BL33/BM33),BL33/BM33," - ")</f>
        <v xml:space="preserve"> - </v>
      </c>
      <c r="BK33" s="709"/>
      <c r="BL33" s="681">
        <f>IF(ISNUMBER(STDEV(BL8:BL30)),STDEV(BL8:BL30),"-")</f>
        <v>0.98178014164239391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70/7WbiCI0v0yZbAgc6bgSjHdCeAXESyAjm+061N+Dme0tg/ji5iQmHUawWHt7LkxYjTP8i0jL5yJ5TiMNPYg==" saltValue="dUyyO7THMwzarJq4Reny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GANDIA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405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392</v>
      </c>
      <c r="AA9" s="551" t="str">
        <f>IF(ISNUMBER(IF(J_V="SI",Datos!L9,Datos!L9+Datos!AB9)-IF(Monitorios="SI",Datos!CD9,0)),
                          IF(J_V="SI",Datos!L9,Datos!L9+Datos!AB9)-IF(Monitorios="SI",Datos!CD9,0),
                          " - ")</f>
        <v xml:space="preserve"> - </v>
      </c>
      <c r="AB9" s="549"/>
      <c r="AC9" s="549"/>
      <c r="AD9" s="563"/>
      <c r="AE9" s="563">
        <f>IF(ISNUMBER(Datos!R9),Datos!R9," - ")</f>
        <v>7325</v>
      </c>
      <c r="AF9" s="693" t="str">
        <f>IF(ISNUMBER(Datos!BV9),Datos!BV9," - ")</f>
        <v xml:space="preserve"> - </v>
      </c>
      <c r="AG9" s="552" t="str">
        <f>IF(ISNUMBER(Datos!DV9),Datos!DV9," - ")</f>
        <v xml:space="preserve"> - </v>
      </c>
      <c r="AH9" s="553"/>
      <c r="AI9" s="554"/>
      <c r="AJ9" s="552">
        <f>IF(ISNUMBER(Datos!M9),Datos!M9," - ")</f>
        <v>301</v>
      </c>
      <c r="AK9" s="693">
        <f>IF(ISNUMBER(Datos!N9),Datos!N9," - ")</f>
        <v>638</v>
      </c>
      <c r="AL9" s="693" t="str">
        <f>IF(ISNUMBER(Datos!BW9),Datos!BW9," - ")</f>
        <v xml:space="preserve"> - </v>
      </c>
      <c r="AM9" s="762" t="str">
        <f>IF(ISNUMBER(Datos!BX9),Datos!BX9," - ")</f>
        <v xml:space="preserve"> - </v>
      </c>
      <c r="AN9" s="763"/>
      <c r="AO9" s="764">
        <f>IF(ISNUMBER(((NºAsuntos!I9/NºAsuntos!G9)*11)/factor_trimestre),((NºAsuntos!I9/NºAsuntos!G9)*11)/factor_trimestre," - ")</f>
        <v>5.184272300469484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1.7778993435448578E-3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2</v>
      </c>
      <c r="AA10" s="551">
        <f>IF(ISNUMBER(Datos!L10),Datos!L10,"-")</f>
        <v>54</v>
      </c>
      <c r="AB10" s="549"/>
      <c r="AC10" s="549"/>
      <c r="AD10" s="563"/>
      <c r="AE10" s="563">
        <f>IF(ISNUMBER(Datos!R10),Datos!R10," - ")</f>
        <v>60</v>
      </c>
      <c r="AF10" s="693" t="str">
        <f>IF(ISNUMBER(Datos!BV10),Datos!BV10," - ")</f>
        <v xml:space="preserve"> - </v>
      </c>
      <c r="AG10" s="552" t="str">
        <f>IF(ISNUMBER(Datos!DV10),Datos!DV10," - ")</f>
        <v xml:space="preserve"> - </v>
      </c>
      <c r="AH10" s="553"/>
      <c r="AI10" s="554"/>
      <c r="AJ10" s="552">
        <f>IF(ISNUMBER(Datos!M10),Datos!M10," - ")</f>
        <v>6</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7.1428571428571425E-2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96</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411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394</v>
      </c>
      <c r="AA14" s="1199">
        <f t="shared" si="3"/>
        <v>54</v>
      </c>
      <c r="AB14" s="1199">
        <f t="shared" si="3"/>
        <v>0</v>
      </c>
      <c r="AC14" s="1199">
        <f t="shared" si="3"/>
        <v>0</v>
      </c>
      <c r="AD14" s="1199">
        <f t="shared" si="3"/>
        <v>0</v>
      </c>
      <c r="AE14" s="1199">
        <f t="shared" si="3"/>
        <v>7481</v>
      </c>
      <c r="AF14" s="1211">
        <f t="shared" si="3"/>
        <v>0</v>
      </c>
      <c r="AG14" s="1211">
        <f t="shared" si="3"/>
        <v>0</v>
      </c>
      <c r="AH14" s="1211">
        <f t="shared" si="3"/>
        <v>0</v>
      </c>
      <c r="AI14" s="1211">
        <f t="shared" si="3"/>
        <v>0</v>
      </c>
      <c r="AJ14" s="1211">
        <f t="shared" si="3"/>
        <v>307</v>
      </c>
      <c r="AK14" s="1211">
        <f t="shared" si="3"/>
        <v>644</v>
      </c>
      <c r="AL14" s="1211">
        <f t="shared" si="3"/>
        <v>0</v>
      </c>
      <c r="AM14" s="1211">
        <f t="shared" si="3"/>
        <v>0</v>
      </c>
      <c r="AN14" s="1211">
        <f t="shared" si="3"/>
        <v>0</v>
      </c>
      <c r="AO14" s="1203">
        <f>IF(ISNUMBER(((NºAsuntos!I14/NºAsuntos!G14)*11)/factor_trimestre),((NºAsuntos!I14/NºAsuntos!G14)*11)/factor_trimestre," - ")</f>
        <v>5.1969785008715865</v>
      </c>
      <c r="AP14" s="1213" t="str">
        <f>IF(ISNUMBER(Datos!CI14/Datos!CJ14),Datos!CI14/Datos!CJ14," - ")</f>
        <v xml:space="preserve"> - </v>
      </c>
      <c r="AQ14" s="1236">
        <f t="shared" ref="AQ14:AV14" si="4">SUBTOTAL(9,AQ9:AQ13)</f>
        <v>0</v>
      </c>
      <c r="AR14" s="1236">
        <f t="shared" si="4"/>
        <v>7.3206470772116283E-2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1202</v>
      </c>
      <c r="G16" s="552">
        <f>IF(ISNUMBER(IF(D_I="SI",Datos!I16,Datos!I16+Datos!AC16)),IF(D_I="SI",Datos!I16,Datos!I16+Datos!AC16)," - ")</f>
        <v>1148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1862</v>
      </c>
      <c r="Z16" s="805">
        <f>IF(ISNUMBER(Datos!Q16),Datos!Q16," - ")</f>
        <v>79</v>
      </c>
      <c r="AA16" s="551">
        <f>IF(ISNUMBER(IF(D_I="SI",Datos!L16,Datos!L16+Datos!AF16)),IF(D_I="SI",Datos!L16,Datos!L16+Datos!AF16)," - ")</f>
        <v>1412</v>
      </c>
      <c r="AB16" s="549"/>
      <c r="AC16" s="549"/>
      <c r="AD16" s="563"/>
      <c r="AE16" s="563">
        <f>IF(ISNUMBER(Datos!R16),Datos!R16," - ")</f>
        <v>301</v>
      </c>
      <c r="AF16" s="693" t="str">
        <f>IF(ISNUMBER(Datos!BV16),Datos!BV16," - ")</f>
        <v xml:space="preserve"> - </v>
      </c>
      <c r="AG16" s="552"/>
      <c r="AH16" s="553"/>
      <c r="AI16" s="554"/>
      <c r="AJ16" s="552">
        <f>IF(ISNUMBER(Datos!M16),Datos!M16," - ")</f>
        <v>277</v>
      </c>
      <c r="AK16" s="693">
        <f>IF(ISNUMBER(Datos!N16),Datos!N16," - ")</f>
        <v>1069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1.5166487647690656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225</v>
      </c>
      <c r="Z18" s="805">
        <f>IF(ISNUMBER(Datos!Q18),Datos!Q18," - ")</f>
        <v>5</v>
      </c>
      <c r="AA18" s="551">
        <f>IF(ISNUMBER(Datos!L18),Datos!L18,"-")</f>
        <v>99</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74</v>
      </c>
      <c r="AK18" s="693">
        <f>IF(ISNUMBER(Datos!N18),Datos!N18," - ")</f>
        <v>158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1202</v>
      </c>
      <c r="G23" s="1197">
        <f>SUBTOTAL(9,G16:G22)</f>
        <v>1246</v>
      </c>
      <c r="H23" s="1240">
        <f>SUBTOTAL(9,H16:H22)</f>
        <v>0</v>
      </c>
      <c r="I23" s="1217">
        <f>SUBTOTAL(9,I16:I22)</f>
        <v>0</v>
      </c>
      <c r="J23" s="1164">
        <f>SUBTOTAL(9,J15:J22)</f>
        <v>0</v>
      </c>
      <c r="K23" s="1240">
        <f t="shared" ref="K23:S23" si="5">SUBTOTAL(9,K16:K22)</f>
        <v>0</v>
      </c>
      <c r="L23" s="1240">
        <f t="shared" si="5"/>
        <v>0</v>
      </c>
      <c r="M23" s="1240">
        <f t="shared" si="5"/>
        <v>0</v>
      </c>
      <c r="N23" s="1240">
        <f t="shared" si="5"/>
        <v>100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2087</v>
      </c>
      <c r="Z23" s="1240">
        <f t="shared" si="6"/>
        <v>84</v>
      </c>
      <c r="AA23" s="1240">
        <f t="shared" si="6"/>
        <v>1511</v>
      </c>
      <c r="AB23" s="1240">
        <f t="shared" si="6"/>
        <v>0</v>
      </c>
      <c r="AC23" s="1240">
        <f t="shared" si="6"/>
        <v>0</v>
      </c>
      <c r="AD23" s="1240">
        <f t="shared" si="6"/>
        <v>0</v>
      </c>
      <c r="AE23" s="1240">
        <f t="shared" si="6"/>
        <v>311</v>
      </c>
      <c r="AF23" s="1240">
        <f t="shared" si="6"/>
        <v>0</v>
      </c>
      <c r="AG23" s="1240">
        <f t="shared" si="6"/>
        <v>0</v>
      </c>
      <c r="AH23" s="1240">
        <f t="shared" si="6"/>
        <v>0</v>
      </c>
      <c r="AI23" s="1240">
        <f t="shared" si="6"/>
        <v>0</v>
      </c>
      <c r="AJ23" s="1240">
        <f t="shared" si="6"/>
        <v>351</v>
      </c>
      <c r="AK23" s="1240">
        <f t="shared" si="6"/>
        <v>1227</v>
      </c>
      <c r="AL23" s="1240">
        <f t="shared" si="6"/>
        <v>0</v>
      </c>
      <c r="AM23" s="1240">
        <f t="shared" si="6"/>
        <v>0</v>
      </c>
      <c r="AN23" s="1240">
        <f t="shared" si="6"/>
        <v>0</v>
      </c>
      <c r="AO23" s="1242">
        <f>IF(ISNUMBER(((NºAsuntos!I23/NºAsuntos!G23)*11)/factor_trimestre),((NºAsuntos!I23/NºAsuntos!G23)*11)/factor_trimestre," - ")</f>
        <v>1.4480114997604216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1248</v>
      </c>
      <c r="G31" s="1117">
        <f t="shared" si="12"/>
        <v>1292</v>
      </c>
      <c r="H31" s="1118">
        <f t="shared" si="12"/>
        <v>0</v>
      </c>
      <c r="I31" s="1117">
        <f t="shared" si="12"/>
        <v>0</v>
      </c>
      <c r="J31" s="1119">
        <f t="shared" si="12"/>
        <v>0</v>
      </c>
      <c r="K31" s="1117">
        <f t="shared" si="12"/>
        <v>0</v>
      </c>
      <c r="L31" s="1120">
        <f t="shared" si="12"/>
        <v>0</v>
      </c>
      <c r="M31" s="1117">
        <f t="shared" si="12"/>
        <v>0</v>
      </c>
      <c r="N31" s="1118">
        <f t="shared" si="12"/>
        <v>511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2103</v>
      </c>
      <c r="Z31" s="1124">
        <f t="shared" si="13"/>
        <v>478</v>
      </c>
      <c r="AA31" s="1125">
        <f t="shared" si="13"/>
        <v>1565</v>
      </c>
      <c r="AB31" s="1125">
        <f t="shared" si="13"/>
        <v>0</v>
      </c>
      <c r="AC31" s="1125">
        <f t="shared" si="13"/>
        <v>0</v>
      </c>
      <c r="AD31" s="1126">
        <f t="shared" si="13"/>
        <v>0</v>
      </c>
      <c r="AE31" s="1126">
        <f t="shared" si="13"/>
        <v>7792</v>
      </c>
      <c r="AF31" s="1127">
        <f t="shared" si="13"/>
        <v>0</v>
      </c>
      <c r="AG31" s="1128">
        <f t="shared" si="13"/>
        <v>0</v>
      </c>
      <c r="AH31" s="1129">
        <f t="shared" si="13"/>
        <v>0</v>
      </c>
      <c r="AI31" s="1127">
        <f t="shared" si="13"/>
        <v>0</v>
      </c>
      <c r="AJ31" s="1117">
        <f t="shared" si="13"/>
        <v>658</v>
      </c>
      <c r="AK31" s="1117">
        <f t="shared" si="13"/>
        <v>1871</v>
      </c>
      <c r="AL31" s="1117">
        <f t="shared" si="13"/>
        <v>0</v>
      </c>
      <c r="AM31" s="1130">
        <f t="shared" si="13"/>
        <v>0</v>
      </c>
      <c r="AN31" s="1120">
        <f>IF(ISNUMBER(Datos!K31/Datos!J31),Datos!K31/Datos!J31," - ")</f>
        <v>0.87802516940948694</v>
      </c>
      <c r="AO31" s="1120">
        <f>IF(ISNUMBER(FIND("06",Criterios!A8,1)),(IF(ISNUMBER(((Datos!R31/Datos!Q31)*11)/factor_trimestre),((Datos!R31/Datos!Q31)*11)/factor_trimestre," - ")),(IF(ISNUMBER(((Datos!L31/Datos!K31)*11)/factor_trimestre),((Datos!L31/Datos!K31)*11)/factor_trimestre," - ")))</f>
        <v>3.1659316427783897</v>
      </c>
      <c r="AP31" s="1131" t="str">
        <f>IF(ISNUMBER(Datos!CI31/Datos!CJ31),Datos!CI31/Datos!CJ31," - ")</f>
        <v xml:space="preserve"> - </v>
      </c>
      <c r="AQ31" s="1131">
        <f>IF(OR(ISNUMBER(FIND("01",Criterios!A8,1)),ISNUMBER(FIND("02",Criterios!A8,1)),ISNUMBER(FIND("03",Criterios!A8,1)),ISNUMBER(FIND("04",Criterios!A8,1))),(J31-Y31+K31)/(F31-K31),(I31-Y31+K31)/(F31-K31))</f>
        <v>-1.6850961538461537</v>
      </c>
      <c r="AR31" s="1131">
        <f>IF(ISNUMBER((Datos!P31-Datos!Q31+O31)/(Datos!R31-Datos!P31+Datos!Q31-O31)),(Datos!P31-Datos!Q31+O31)/(Datos!R31-Datos!P31+Datos!Q31-O31)," - ")</f>
        <v>4.2531254027580873E-3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577.90393006186798</v>
      </c>
      <c r="G33" s="674">
        <f>IF(ISNUMBER(STDEV(G8:G30)),STDEV(G8:G30),"-")</f>
        <v>541.1131384206343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155.31559269221276</v>
      </c>
      <c r="AK33" s="276"/>
      <c r="AL33" s="276">
        <f>IF(ISNUMBER(STDEV(AL8:AL30)),STDEV(AL8:AL30),"-")</f>
        <v>0</v>
      </c>
      <c r="AM33" s="278">
        <f>IF(ISNUMBER(STDEV(AM8:AM30)),STDEV(AM8:AM30),"-")</f>
        <v>0</v>
      </c>
      <c r="AN33" s="660">
        <f>IF(ISNUMBER(STDEV(AN8:AN30)),STDEV(AN8:AN30),"-")</f>
        <v>0</v>
      </c>
      <c r="AO33" s="661">
        <f>IF(ISNUMBER(STDEV(AO8:AO30)),STDEV(AO8:AO30),"-")</f>
        <v>2.3525132959219484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oYnDb84WvvXZFYQy5RzEdYh/yxrJ2sOH35VpRjbPc8wZMtCmAE7VDHdkCLovQ7/FtIjGfab5LypSwVaiW/k/Q==" saltValue="80nOHk+PhIHYLtLg7RXH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bptjI2BOxONoqW/ff3Y1qckZsbQrb1FfZagl+CV9hzLULwSJ0hXyohBTNeDiqpapbofzasDD/EZ72uA8wWraA==" saltValue="R4qTukYiknoyOlCMJPqM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VeTVbT/cqm2UphKCOMWUrCTdGtAd/rbFxyCpahwge1qAFqEKG1x3PgjZvDuIUXvGRBlkWVMR+ALkfOnA50Vg==" saltValue="zT44WA9tPlRJ3/l8EBAD4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GANDIA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0.17838466008134804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0.12613700280317841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6fnpO1LJtFgnL1gi7qZ3cGYNsCbskbhaXOLjwCqfogueztYK4OFoUHbZpwWJ00xNbjPLc6/l5+U2eLJ4piQXw==" saltValue="FB9tR1UBO5tJ08JQuqBI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cjN15Qj2PkTS7kdX/Z+FPckdhIYKgbrphEU6OYdJFadE4TsZLARqZSzEl5//gN5syLTx6XKBRP3hdIdrBUTqNQ==" saltValue="t9V0Hg2lX/uQuNfUJjz3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GANDIA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4170</v>
      </c>
      <c r="D9" s="452">
        <f>IF(ISNUMBER(C9/Datos!BH9),C9/Datos!BH9," - ")</f>
        <v>695</v>
      </c>
      <c r="E9" s="451">
        <f>IF(ISNUMBER(IF(J_V="SI",Datos!J9,Datos!J9+Datos!Z9)),IF(J_V="SI",Datos!J9,Datos!J9+Datos!Z9)," - ")</f>
        <v>2004</v>
      </c>
      <c r="F9" s="452">
        <f>IF(ISNUMBER(E9/B9),E9/B9," - ")</f>
        <v>334</v>
      </c>
      <c r="G9" s="451">
        <f>IF(ISNUMBER(IF(J_V="SI",Datos!K9,Datos!K9+Datos!AA9)),IF(J_V="SI",Datos!K9,Datos!K9+Datos!AA9)," - ")</f>
        <v>1704</v>
      </c>
      <c r="H9" s="452">
        <f>IF(ISNUMBER(G9/B9),G9/B9," - ")</f>
        <v>284</v>
      </c>
      <c r="I9" s="451">
        <f>IF(ISNUMBER(IF(J_V="SI",Datos!L9,Datos!L9+Datos!AB9)),IF(J_V="SI",Datos!L9,Datos!L9+Datos!AB9)," - ")</f>
        <v>4417</v>
      </c>
      <c r="J9" s="452">
        <f>IF(ISNUMBER(I9/B9),I9/B9," - ")</f>
        <v>736.16666666666663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24</v>
      </c>
      <c r="F10" s="452">
        <f>IF(ISNUMBER(E10/B10),E10/B10," - ")</f>
        <v>24</v>
      </c>
      <c r="G10" s="451">
        <f>IF(ISNUMBER(Datos!K10),Datos!K10," - ")</f>
        <v>16</v>
      </c>
      <c r="H10" s="452">
        <f>IF(ISNUMBER(G10/B10),G10/B10," - ")</f>
        <v>16</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4218</v>
      </c>
      <c r="D14" s="1147" t="str">
        <f>IF(ISNUMBER(C14/Datos!BI14),C14/Datos!BI14," - ")</f>
        <v xml:space="preserve"> - </v>
      </c>
      <c r="E14" s="1146">
        <f>SUBTOTAL(9,E8:E13)</f>
        <v>2028</v>
      </c>
      <c r="F14" s="1147">
        <f>IF(ISNUMBER(E14/B14),E14/B14," - ")</f>
        <v>289.71428571428572</v>
      </c>
      <c r="G14" s="1146">
        <f>SUBTOTAL(9,G8:G13)</f>
        <v>1721</v>
      </c>
      <c r="H14" s="1147">
        <f>IF(ISNUMBER(G14/B14),G14/B14," - ")</f>
        <v>245.85714285714286</v>
      </c>
      <c r="I14" s="1146">
        <f>SUBTOTAL(9,I8:I13)</f>
        <v>4472</v>
      </c>
      <c r="J14" s="1147">
        <f>IF(ISNUMBER(I14/B14),I14/B14," - ")</f>
        <v>638.85714285714289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1148</v>
      </c>
      <c r="D16" s="452">
        <f>IF(ISNUMBER(C16/Datos!BH16),C16/Datos!BH16," - ")</f>
        <v>382.66666666666669</v>
      </c>
      <c r="E16" s="451">
        <f>IF(ISNUMBER(IF(D_I="SI",Datos!J16,Datos!J16+Datos!AD16)),IF(D_I="SI",Datos!J16,Datos!J16+Datos!AD16)," - ")</f>
        <v>2072</v>
      </c>
      <c r="F16" s="452">
        <f>IF(ISNUMBER(E16/B16),E16/B16," - ")</f>
        <v>690.66666666666663</v>
      </c>
      <c r="G16" s="451">
        <f>IF(ISNUMBER(IF(D_I="SI",Datos!K16,Datos!K16+Datos!AE16)),IF(D_I="SI",Datos!K16,Datos!K16+Datos!AE16)," - ")</f>
        <v>1862</v>
      </c>
      <c r="H16" s="452">
        <f>IF(ISNUMBER(G16/B16),G16/B16," - ")</f>
        <v>620.66666666666663</v>
      </c>
      <c r="I16" s="451">
        <f>IF(ISNUMBER(IF(D_I="SI",Datos!L16,Datos!L16+Datos!AF16)),IF(D_I="SI",Datos!L16,Datos!L16+Datos!AF16)," - ")</f>
        <v>1412</v>
      </c>
      <c r="J16" s="452">
        <f>IF(ISNUMBER(I16/B16),I16/B16," - ")</f>
        <v>470.66666666666669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98</v>
      </c>
      <c r="D18" s="452">
        <f>IF(ISNUMBER(C18/Datos!BH18),C18/Datos!BH18," - ")</f>
        <v>98</v>
      </c>
      <c r="E18" s="451">
        <f>IF(ISNUMBER(IF(D_I="SI",Datos!J18,Datos!J18+Datos!AD18)),IF(D_I="SI",Datos!J18,Datos!J18+Datos!AD18)," - ")</f>
        <v>226</v>
      </c>
      <c r="F18" s="452">
        <f>IF(ISNUMBER(E18/B18),E18/B18," - ")</f>
        <v>226</v>
      </c>
      <c r="G18" s="451">
        <f>IF(ISNUMBER(IF(D_I="SI",Datos!K18,Datos!K18+Datos!AE18)),IF(D_I="SI",Datos!K18,Datos!K18+Datos!AE18)," - ")</f>
        <v>225</v>
      </c>
      <c r="H18" s="452">
        <f>IF(ISNUMBER(G18/B18),G18/B18," - ")</f>
        <v>225</v>
      </c>
      <c r="I18" s="451">
        <f>IF(ISNUMBER(IF(D_I="SI",Datos!L18,Datos!L18+Datos!AF18)),IF(D_I="SI",Datos!L18,Datos!L18+Datos!AF18)," - ")</f>
        <v>99</v>
      </c>
      <c r="J18" s="452">
        <f>IF(ISNUMBER(I18/B18),I18/B18," - ")</f>
        <v>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1246</v>
      </c>
      <c r="D23" s="1147" t="str">
        <f>IF(ISNUMBER(C23/Datos!BI23),C23/Datos!BI23," - ")</f>
        <v xml:space="preserve"> - </v>
      </c>
      <c r="E23" s="1146">
        <f>SUBTOTAL(9,E15:E22)</f>
        <v>2298</v>
      </c>
      <c r="F23" s="1147">
        <f>IF(ISNUMBER(E23/B23),E23/B23," - ")</f>
        <v>574.5</v>
      </c>
      <c r="G23" s="1146">
        <f>SUBTOTAL(9,G15:G22)</f>
        <v>2087</v>
      </c>
      <c r="H23" s="1147">
        <f>IF(ISNUMBER(G23/B23),G23/B23," - ")</f>
        <v>521.75</v>
      </c>
      <c r="I23" s="1146">
        <f>SUBTOTAL(9,I15:I22)</f>
        <v>1511</v>
      </c>
      <c r="J23" s="1147">
        <f>IF(ISNUMBER(I23/B23),I23/B23," - ")</f>
        <v>377.75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5464</v>
      </c>
      <c r="D31" s="1085" t="str">
        <f>IF(ISNUMBER(C31/Datos!BI31),C31/Datos!BI31," - ")</f>
        <v xml:space="preserve"> - </v>
      </c>
      <c r="E31" s="1084">
        <f>SUBTOTAL(9,E9:E30)</f>
        <v>4326</v>
      </c>
      <c r="F31" s="1085">
        <f>IF(ISNUMBER(E31/B31),E31/B31," - ")</f>
        <v>432.6</v>
      </c>
      <c r="G31" s="1084">
        <f>SUBTOTAL(9,G9:G30)</f>
        <v>3808</v>
      </c>
      <c r="H31" s="1085">
        <f>IF(ISNUMBER(G31/B31),G31/B31," - ")</f>
        <v>380.8</v>
      </c>
      <c r="I31" s="1084">
        <f>SUBTOTAL(9,I9:I30)</f>
        <v>5983</v>
      </c>
      <c r="J31" s="1085">
        <f>IF(ISNUMBER(I31/B31),I31/B31," - ")</f>
        <v>598.29999999999995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oF4Iu3intHy08nnpXZvIfGaXhPAuR7UuD4Iv6giXdT4qtcnzCU6kFQ0InVOZRTGEDaQJw5KMcfn/8tW/vtfPw==" saltValue="MI2soWjzxKb8vfAUGccN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GANDIA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6.75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0</v>
      </c>
      <c r="AE14" s="1257">
        <f t="shared" si="1"/>
        <v>0</v>
      </c>
      <c r="AF14" s="1257">
        <f t="shared" si="1"/>
        <v>54</v>
      </c>
      <c r="AG14" s="1257">
        <f t="shared" si="1"/>
        <v>0</v>
      </c>
      <c r="AH14" s="1257">
        <f t="shared" si="1"/>
        <v>96</v>
      </c>
      <c r="AI14" s="1257">
        <f t="shared" si="1"/>
        <v>0</v>
      </c>
      <c r="AJ14" s="1257">
        <f t="shared" si="1"/>
        <v>0</v>
      </c>
      <c r="AK14" s="1257">
        <f t="shared" si="1"/>
        <v>0</v>
      </c>
      <c r="AL14" s="1257">
        <f t="shared" si="1"/>
        <v>6</v>
      </c>
      <c r="AM14" s="1257">
        <f t="shared" si="1"/>
        <v>6</v>
      </c>
      <c r="AN14" s="1257">
        <f t="shared" si="1"/>
        <v>0</v>
      </c>
      <c r="AO14" s="1257">
        <f t="shared" si="1"/>
        <v>0</v>
      </c>
      <c r="AP14" s="1262">
        <f>IF(ISNUMBER(((Datos!L14/Datos!K14)*11)/factor_trimestre),((Datos!L14/Datos!K14)*11)/factor_trimestre," - ")</f>
        <v>5.4925373134328357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-0.34782608695652173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1.4480114997604216</v>
      </c>
      <c r="AQ23" s="1262">
        <f>IF(ISNUMBER(((Datos!M23/Datos!L23)*11)/factor_trimestre),((Datos!M23/Datos!L23)*11)/factor_trimestre," - ")</f>
        <v>0.46459298477829253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5.4237288135593219E-2</v>
      </c>
      <c r="AW23" s="1265">
        <f>IF(ISNUMBER((Datos!Q23-Datos!R23)/(Datos!S23-Datos!Q23+Datos!R23)),(Datos!Q23-Datos!R23)/(Datos!S23-Datos!Q23+Datos!R23)," - ")</f>
        <v>-0.13617276544691062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0</v>
      </c>
      <c r="AE31" s="1284">
        <f t="shared" si="9"/>
        <v>0</v>
      </c>
      <c r="AF31" s="1285">
        <f t="shared" si="9"/>
        <v>54</v>
      </c>
      <c r="AG31" s="1285">
        <f t="shared" si="9"/>
        <v>0</v>
      </c>
      <c r="AH31" s="1285">
        <f t="shared" si="9"/>
        <v>96</v>
      </c>
      <c r="AI31" s="1285">
        <f t="shared" si="9"/>
        <v>0</v>
      </c>
      <c r="AJ31" s="1286">
        <f t="shared" si="9"/>
        <v>0</v>
      </c>
      <c r="AK31" s="1286">
        <f t="shared" si="9"/>
        <v>0</v>
      </c>
      <c r="AL31" s="1278">
        <f t="shared" si="9"/>
        <v>6</v>
      </c>
      <c r="AM31" s="1278">
        <f t="shared" si="9"/>
        <v>6</v>
      </c>
      <c r="AN31" s="1278">
        <f t="shared" si="9"/>
        <v>0</v>
      </c>
      <c r="AO31" s="1278">
        <f t="shared" si="9"/>
        <v>0</v>
      </c>
      <c r="AP31" s="1278">
        <f>IF(ISNUMBER(((Datos!L31/Datos!K31)*11)/factor_trimestre),((Datos!L31/Datos!K31)*11)/factor_trimestre," - ")</f>
        <v>3.1659316427783897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-0.34782608695652173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4.2531254027580873E-3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3.0983866769659336</v>
      </c>
      <c r="AM33" s="1006"/>
      <c r="AN33" s="1006">
        <f>IF(ISNUMBER(STDEV(AN8:AN30)),STDEV(AN8:AN30),"-")</f>
        <v>0</v>
      </c>
      <c r="AO33" s="1012">
        <f>IF(ISNUMBER(STDEV(AO8:AO30)),STDEV(AO8:AO30),"-")</f>
        <v>0</v>
      </c>
      <c r="AP33" s="1065">
        <f>IF(ISNUMBER(STDEV(AP8:AP30)),STDEV(AP8:AP30),"-")</f>
        <v>2.599927750796827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6mdMlKbsYuESnt5FTyqZVqgOYwGiY7rky418otoFOIYOGmrwmG6ekYD/Xt65Z2lDUACIE/X38gIxvNhN7xnBA==" saltValue="ksq6FQU+iGDf3pOE7icA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GANDIA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MAyxql4EkLuIIwomDyqQK39qg/fJnrR/0JX76obAJEmOQ/tNq9vkG/DQQaQEb7r9lslNyoWmHIIh+U6Thnq3w==" saltValue="wATwABUBXJ6Kz0lf8ylA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GANDIA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301</v>
      </c>
      <c r="E9" s="452">
        <f t="shared" ref="E9:E14" si="0">IF(ISNUMBER(D9/B9),D9/B9," - ")</f>
        <v>50.166666666666664</v>
      </c>
      <c r="F9" s="451">
        <f>IF(ISNUMBER(Datos!N9),Datos!N9," - ")</f>
        <v>638</v>
      </c>
      <c r="G9" s="452">
        <f t="shared" ref="G9:G14" si="1">IF(ISNUMBER(F9/B9),F9/B9," - ")</f>
        <v>106.33333333333333</v>
      </c>
      <c r="H9" s="451">
        <f>IF(ISNUMBER(Datos!O9),Datos!O9," - ")</f>
        <v>973</v>
      </c>
      <c r="I9" s="452">
        <f>IF(ISNUMBER(H9/B9),H9/B9," - ")</f>
        <v>162.16666666666666</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6</v>
      </c>
      <c r="G10" s="452">
        <f>IF(ISNUMBER(F10/B10),F10/B10," - ")</f>
        <v>6</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307</v>
      </c>
      <c r="E14" s="1147">
        <f t="shared" si="0"/>
        <v>43.857142857142854</v>
      </c>
      <c r="F14" s="1146">
        <f>SUBTOTAL(9,F9:F13)</f>
        <v>644</v>
      </c>
      <c r="G14" s="1147">
        <f t="shared" si="1"/>
        <v>92</v>
      </c>
      <c r="H14" s="1146">
        <f>SUBTOTAL(9,H9:H13)</f>
        <v>979</v>
      </c>
      <c r="I14" s="1147">
        <f>IF(ISNUMBER(H14/B14),H14/B14," - ")</f>
        <v>139.85714285714286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277</v>
      </c>
      <c r="E16" s="452">
        <f t="shared" ref="E16:E23" si="3">IF(ISNUMBER(D16/B16),D16/B16," - ")</f>
        <v>92.333333333333329</v>
      </c>
      <c r="F16" s="451">
        <f>IF(ISNUMBER(Datos!N16),Datos!N16," - ")</f>
        <v>1069</v>
      </c>
      <c r="G16" s="452">
        <f t="shared" ref="G16:G23" si="4">IF(ISNUMBER(F16/B16),F16/B16," - ")</f>
        <v>356.33333333333331</v>
      </c>
      <c r="H16" s="451">
        <f>IF(ISNUMBER(Datos!O16),Datos!O16," - ")</f>
        <v>66</v>
      </c>
      <c r="I16" s="452">
        <f t="shared" ref="I16:I22" si="5">IF(ISNUMBER(H16/B16),H16/B16," - ")</f>
        <v>22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74</v>
      </c>
      <c r="E18" s="452">
        <f>IF(ISNUMBER(D18/B18),D18/B18," - ")</f>
        <v>74</v>
      </c>
      <c r="F18" s="451">
        <f>IF(ISNUMBER(Datos!N18),Datos!N18," - ")</f>
        <v>158</v>
      </c>
      <c r="G18" s="452">
        <f>IF(ISNUMBER(F18/B18),F18/B18," - ")</f>
        <v>158</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351</v>
      </c>
      <c r="E23" s="1147">
        <f t="shared" si="3"/>
        <v>87.75</v>
      </c>
      <c r="F23" s="1146">
        <f>SUBTOTAL(9,F16:F22)</f>
        <v>1227</v>
      </c>
      <c r="G23" s="1147">
        <f t="shared" si="4"/>
        <v>306.75</v>
      </c>
      <c r="H23" s="1146">
        <f>SUBTOTAL(9,H16:H22)</f>
        <v>71</v>
      </c>
      <c r="I23" s="1147">
        <f>IF(ISNUMBER(H23/B23),H23/B23," - ")</f>
        <v>17.75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658</v>
      </c>
      <c r="E31" s="1085">
        <f>IF(ISNUMBER(D31/B31),D31/B31," - ")</f>
        <v>65.8</v>
      </c>
      <c r="F31" s="1084">
        <f>SUBTOTAL(9,F8:F30)</f>
        <v>1871</v>
      </c>
      <c r="G31" s="1085">
        <f>IF(ISNUMBER(F31/B31),F31/B31," - ")</f>
        <v>187.1</v>
      </c>
      <c r="H31" s="1084">
        <f>SUBTOTAL(9,H8:H30)</f>
        <v>1050</v>
      </c>
      <c r="I31" s="1085">
        <f>IF(ISNUMBER(H31/B31),H31/B31," - ")</f>
        <v>105</v>
      </c>
    </row>
    <row r="34" spans="1:1">
      <c r="A34" s="439" t="str">
        <f>Criterios!A4</f>
        <v>Fecha Informe: 06 may. 2023</v>
      </c>
    </row>
    <row r="39" spans="1:1">
      <c r="A39" s="462"/>
    </row>
  </sheetData>
  <sheetProtection algorithmName="SHA-512" hashValue="TB32wiBpqMW84C/sj6pzJi58Kq8I0IUqtcTmnLoC6g5p0kHuBxykPPjZoayw3bLTBYKVsD9hQJAThAbVKMgz1w==" saltValue="kAgJ/M9f/DGaboEqBidy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GANDIA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405</v>
      </c>
      <c r="C9" s="489">
        <f>IF(ISNUMBER(Datos!Q9),Datos!Q9," - ")</f>
        <v>392</v>
      </c>
      <c r="D9" s="456">
        <f>IF(ISNUMBER(Datos!R9),Datos!R9," - ")</f>
        <v>7325</v>
      </c>
    </row>
    <row r="10" spans="1:4">
      <c r="A10" s="450" t="str">
        <f>Datos!A10</f>
        <v>Jdos. Violencia contra la mujer</v>
      </c>
      <c r="B10" s="488">
        <f>IF(ISNUMBER(Datos!P10),Datos!P10," - ")</f>
        <v>6</v>
      </c>
      <c r="C10" s="489">
        <f>IF(ISNUMBER(Datos!Q10),Datos!Q10," - ")</f>
        <v>2</v>
      </c>
      <c r="D10" s="456">
        <f>IF(ISNUMBER(Datos!R10),Datos!R10," - ")</f>
        <v>60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411</v>
      </c>
      <c r="C14" s="1150">
        <f>SUBTOTAL(9,C9:C13)</f>
        <v>394</v>
      </c>
      <c r="D14" s="1148">
        <f>SUBTOTAL(9,D9:D13)</f>
        <v>7481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86</v>
      </c>
      <c r="C16" s="489">
        <f>IF(ISNUMBER(Datos!Q16),Datos!Q16," - ")</f>
        <v>79</v>
      </c>
      <c r="D16" s="456">
        <f>IF(ISNUMBER(Datos!R16),Datos!R16," - ")</f>
        <v>301</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14</v>
      </c>
      <c r="C18" s="489">
        <f>IF(ISNUMBER(Datos!Q18),Datos!Q18," - ")</f>
        <v>5</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100</v>
      </c>
      <c r="C23" s="1150">
        <f>SUBTOTAL(9,C16:C22)</f>
        <v>84</v>
      </c>
      <c r="D23" s="1148">
        <f>SUBTOTAL(9,D16:D22)</f>
        <v>311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511</v>
      </c>
      <c r="C31" s="1089">
        <f>SUBTOTAL(9,C8:C30)</f>
        <v>478</v>
      </c>
      <c r="D31" s="1090">
        <f>SUBTOTAL(9,D8:D30)</f>
        <v>7792</v>
      </c>
    </row>
    <row r="32" spans="1:4" ht="7.5" customHeight="1"/>
    <row r="33" spans="1:1" ht="6" customHeight="1"/>
    <row r="34" spans="1:1">
      <c r="A34" s="439" t="str">
        <f>Criterios!A4</f>
        <v>Fecha Informe: 06 may. 2023</v>
      </c>
    </row>
    <row r="39" spans="1:1">
      <c r="A39" s="462"/>
    </row>
  </sheetData>
  <sheetProtection algorithmName="SHA-512" hashValue="ewxoOQ/F/f4DX+41VMgBI29Cy0sm3ZaNF9eJ77koun+63dvCQKW97c6kG3bCU41Zr2zk4BPikKXmY3pg8VQX4A==" saltValue="UcJWVEWLHRS+th1pd/PV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GANDIA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1.4351739236195572E-2</v>
      </c>
      <c r="C9" s="515">
        <f>IF(ISNUMBER(
   IF(J_V="SI",(Datos!J9-Datos!T9)/Datos!T9,(Datos!J9+Datos!Z9-(Datos!T9+Datos!AH9))/(Datos!T9+Datos!AH9))
     ),IF(J_V="SI",(Datos!J9-Datos!T9)/Datos!T9,(Datos!J9+Datos!Z9-(Datos!T9+Datos!AH9))/(Datos!T9+Datos!AH9))," - ")</f>
        <v>0.32979429329794291</v>
      </c>
      <c r="D9" s="515">
        <f>IF(ISNUMBER(
   IF(J_V="SI",(Datos!K9-Datos!U9)/Datos!U9,(Datos!K9+Datos!AA9-(Datos!U9+Datos!AI9))/(Datos!U9+Datos!AI9))
     ),IF(J_V="SI",(Datos!K9-Datos!U9)/Datos!U9,(Datos!K9+Datos!AA9-(Datos!U9+Datos!AI9))/(Datos!U9+Datos!AI9))," - ")</f>
        <v>5.7071960297766747E-2</v>
      </c>
      <c r="E9" s="515">
        <f>IF(ISNUMBER(
   IF(J_V="SI",(Datos!L9-Datos!V9)/Datos!V9,(Datos!L9+Datos!AB9-(Datos!V9+Datos!AJ9))/(Datos!V9+Datos!AJ9))
     ),IF(J_V="SI",(Datos!L9-Datos!V9)/Datos!V9,(Datos!L9+Datos!AB9-(Datos!V9+Datos!AJ9))/(Datos!V9+Datos!AJ9))," - ")</f>
        <v>0.10342243317511866</v>
      </c>
      <c r="F9" s="515">
        <f>IF(ISNUMBER((Datos!M9-Datos!W9)/Datos!W9),(Datos!M9-Datos!W9)/Datos!W9," - ")</f>
        <v>5.9859154929577461E-2</v>
      </c>
      <c r="G9" s="516">
        <f>IF(ISNUMBER((Datos!N9-Datos!X9)/Datos!X9),(Datos!N9-Datos!X9)/Datos!X9," - ")</f>
        <v>6.6889632107023408E-2</v>
      </c>
      <c r="H9" s="514">
        <f>IF(ISNUMBER(((NºAsuntos!G9/NºAsuntos!E9)-Datos!BD9)/Datos!BD9),((NºAsuntos!G9/NºAsuntos!E9)-Datos!BD9)/Datos!BD9," - ")</f>
        <v>-0.20508610570422434</v>
      </c>
      <c r="I9" s="515">
        <f>IF(ISNUMBER(((NºAsuntos!I9/NºAsuntos!G9)-Datos!BE9)/Datos!BE9),((NºAsuntos!I9/NºAsuntos!G9)-Datos!BE9)/Datos!BE9," - ")</f>
        <v>4.3847982557682672E-2</v>
      </c>
      <c r="J9" s="521">
        <f>IF(ISNUMBER((('Resol  Asuntos'!D9/NºAsuntos!G9)-Datos!BF9)/Datos!BF9),(('Resol  Asuntos'!D9/NºAsuntos!G9)-Datos!BF9)/Datos!BF9," - ")</f>
        <v>-0.52383139416207392</v>
      </c>
      <c r="K9" s="522">
        <f>IF(ISNUMBER((((NºAsuntos!C9+NºAsuntos!E9)/NºAsuntos!G9)-Datos!BG9)/Datos!BG9),(((NºAsuntos!C9+NºAsuntos!E9)/NºAsuntos!G9)-Datos!BG9)/Datos!BG9," - ")</f>
        <v>3.9633672451225711E-2</v>
      </c>
    </row>
    <row r="10" spans="1:11">
      <c r="A10" s="450" t="str">
        <f>Datos!A10</f>
        <v>Jdos. Violencia contra la mujer</v>
      </c>
      <c r="B10" s="514">
        <f>IF(ISNUMBER((Datos!I10-Datos!S10)/Datos!S10),(Datos!I10-Datos!S10)/Datos!S10," - ")</f>
        <v>-2.1276595744680851E-2</v>
      </c>
      <c r="C10" s="515">
        <f>IF(ISNUMBER((Datos!J10-Datos!T10)/Datos!T10),(Datos!J10-Datos!T10)/Datos!T10," - ")</f>
        <v>0.7142857142857143</v>
      </c>
      <c r="D10" s="515">
        <f>IF(ISNUMBER((Datos!K10-Datos!U10)/Datos!U10),(Datos!K10-Datos!U10)/Datos!U10," - ")</f>
        <v>-0.23809523809523808</v>
      </c>
      <c r="E10" s="515">
        <f>IF(ISNUMBER((Datos!L10-Datos!V10)/Datos!V10),(Datos!L10-Datos!V10)/Datos!V10," - ")</f>
        <v>0.35</v>
      </c>
      <c r="F10" s="515">
        <f>IF(ISNUMBER((Datos!M10-Datos!W10)/Datos!W10),(Datos!M10-Datos!W10)/Datos!W10," - ")</f>
        <v>-0.53846153846153844</v>
      </c>
      <c r="G10" s="516">
        <f>IF(ISNUMBER((Datos!N10-Datos!X10)/Datos!X10),(Datos!N10-Datos!X10)/Datos!X10," - ")</f>
        <v>-0.33333333333333331</v>
      </c>
      <c r="H10" s="514">
        <f>IF(ISNUMBER(((NºAsuntos!G10/NºAsuntos!E10)-Datos!BD10)/Datos!BD10),((NºAsuntos!G10/NºAsuntos!E10)-Datos!BD10)/Datos!BD10," - ")</f>
        <v>-0.55555555555555558</v>
      </c>
      <c r="I10" s="515">
        <f>IF(ISNUMBER(((NºAsuntos!I10/NºAsuntos!G10)-Datos!BE10)/Datos!BE10),((NºAsuntos!I10/NºAsuntos!G10)-Datos!BE10)/Datos!BE10," - ")</f>
        <v>0.77187500000000009</v>
      </c>
      <c r="J10" s="521">
        <f>IF(ISNUMBER((('Resol  Asuntos'!D10/NºAsuntos!G10)-Datos!BF10)/Datos!BF10),(('Resol  Asuntos'!D10/NºAsuntos!G10)-Datos!BF10)/Datos!BF10," - ")</f>
        <v>-0.39423076923076927</v>
      </c>
      <c r="K10" s="522">
        <f>IF(ISNUMBER((((NºAsuntos!C10+NºAsuntos!E10)/NºAsuntos!G10)-Datos!BG10)/Datos!BG10),(((NºAsuntos!C10+NºAsuntos!E10)/NºAsuntos!G10)-Datos!BG10)/Datos!BG10," - ")</f>
        <v>0.50614754098360659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-1</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1.4186102428468381E-2</v>
      </c>
      <c r="C14" s="1152">
        <f>IF(ISNUMBER(
   IF(J_V="SI",(Datos!J14-Datos!T14)/Datos!T14,(Datos!J14+Datos!Z14-(Datos!T14+Datos!AH14))/(Datos!T14+Datos!AH14))
     ),IF(J_V="SI",(Datos!J14-Datos!T14)/Datos!T14,(Datos!J14+Datos!Z14-(Datos!T14+Datos!AH14))/(Datos!T14+Datos!AH14))," - ")</f>
        <v>0.33245729303547961</v>
      </c>
      <c r="D14" s="1152">
        <f>IF(ISNUMBER(
   IF(J_V="SI",(Datos!K14-Datos!U14)/Datos!U14,(Datos!K14+Datos!AA14-(Datos!U14+Datos!AI14))/(Datos!U14+Datos!AI14))
     ),IF(J_V="SI",(Datos!K14-Datos!U14)/Datos!U14,(Datos!K14+Datos!AA14-(Datos!U14+Datos!AI14))/(Datos!U14+Datos!AI14))," - ")</f>
        <v>5.3888548683404779E-2</v>
      </c>
      <c r="E14" s="1152">
        <f>IF(ISNUMBER(
   IF(J_V="SI",(Datos!L14-Datos!V14)/Datos!V14,(Datos!L14+Datos!AB14-(Datos!V14+Datos!AJ14))/(Datos!V14+Datos!AJ14))
     ),IF(J_V="SI",(Datos!L14-Datos!V14)/Datos!V14,(Datos!L14+Datos!AB14-(Datos!V14+Datos!AJ14))/(Datos!V14+Datos!AJ14))," - ")</f>
        <v>0.10556242274412855</v>
      </c>
      <c r="F14" s="1153">
        <f>IF(ISNUMBER((Datos!M14-Datos!W14)/Datos!W14),(Datos!M14-Datos!W14)/Datos!W14," - ")</f>
        <v>3.3670033670033669E-2</v>
      </c>
      <c r="G14" s="1154">
        <f>IF(ISNUMBER((Datos!N14-Datos!X14)/Datos!X14),(Datos!N14-Datos!X14)/Datos!X14," - ")</f>
        <v>6.0955518945634266E-2</v>
      </c>
      <c r="H14" s="1154">
        <f>IF(ISNUMBER(((NºAsuntos!G14/NºAsuntos!E14)-Datos!BD14)/Datos!BD14),((NºAsuntos!G14/NºAsuntos!E14)-Datos!BD14)/Datos!BD14," - ")</f>
        <v>-0.20906391957783932</v>
      </c>
      <c r="I14" s="1154">
        <f>IF(ISNUMBER(((NºAsuntos!I14/NºAsuntos!G14)-Datos!BE14)/Datos!BE14),((NºAsuntos!I14/NºAsuntos!G14)-Datos!BE14)/Datos!BE14," - ")</f>
        <v>4.9031630645649006E-2</v>
      </c>
      <c r="J14" s="1154">
        <f>IF(ISNUMBER((('Resol  Asuntos'!D14/NºAsuntos!G14)-Datos!BF14)/Datos!BF14),(('Resol  Asuntos'!D14/NºAsuntos!G14)-Datos!BF14)/Datos!BF14," - ")</f>
        <v>-0.5232370705190813</v>
      </c>
      <c r="K14" s="1154">
        <f>IF(ISNUMBER((((NºAsuntos!C14+NºAsuntos!E14)/NºAsuntos!G14)-Datos!BG14)/Datos!BG14),(((NºAsuntos!C14+NºAsuntos!E14)/NºAsuntos!G14)-Datos!BG14)/Datos!BG14," - ")</f>
        <v>4.3235855248455128E-2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-0.16143170197224252</v>
      </c>
      <c r="C16" s="515">
        <f>IF(ISNUMBER(
   IF(D_I="SI",(Datos!J16-Datos!T16)/Datos!T16,(Datos!J16+Datos!AD16-(Datos!T16+Datos!AL16))/(Datos!T16+Datos!AL16))
     ),IF(D_I="SI",(Datos!J16-Datos!T16)/Datos!T16,(Datos!J16+Datos!AD16-(Datos!T16+Datos!AL16))/(Datos!T16+Datos!AL16))," - ")</f>
        <v>-6.2350119904076738E-3</v>
      </c>
      <c r="D16" s="515">
        <f>IF(ISNUMBER(
   IF(D_I="SI",(Datos!K16-Datos!U16)/Datos!U16,(Datos!K16+Datos!AE16-(Datos!U16+Datos!AM16))/(Datos!U16+Datos!AM16))
     ),IF(D_I="SI",(Datos!K16-Datos!U16)/Datos!U16,(Datos!K16+Datos!AE16-(Datos!U16+Datos!AM16))/(Datos!U16+Datos!AM16))," - ")</f>
        <v>-1.8967334035827187E-2</v>
      </c>
      <c r="E16" s="515">
        <f>IF(ISNUMBER(
   IF(D_I="SI",(Datos!L16-Datos!V16)/Datos!V16,(Datos!L16+Datos!AF16-(Datos!V16+Datos!AN16))/(Datos!V16+Datos!AN16))
     ),IF(D_I="SI",(Datos!L16-Datos!V16)/Datos!V16,(Datos!L16+Datos!AF16-(Datos!V16+Datos!AN16))/(Datos!V16+Datos!AN16))," - ")</f>
        <v>0.16213991769547326</v>
      </c>
      <c r="F16" s="515">
        <f>IF(ISNUMBER((Datos!M16-Datos!W16)/Datos!W16),(Datos!M16-Datos!W16)/Datos!W16," - ")</f>
        <v>-5.1369863013698627E-2</v>
      </c>
      <c r="G16" s="516">
        <f>IF(ISNUMBER((Datos!N16-Datos!X16)/Datos!X16),(Datos!N16-Datos!X16)/Datos!X16," - ")</f>
        <v>-2.1957913998170174E-2</v>
      </c>
      <c r="H16" s="514">
        <f>IF(ISNUMBER(((NºAsuntos!G16/NºAsuntos!E16)-Datos!BD16)/Datos!BD16),((NºAsuntos!G16/NºAsuntos!E16)-Datos!BD16)/Datos!BD16," - ")</f>
        <v>-1.2812206305356977E-2</v>
      </c>
      <c r="I16" s="515">
        <f>IF(ISNUMBER(((NºAsuntos!I16/NºAsuntos!G16)-Datos!BE16)/Datos!BE16),((NºAsuntos!I16/NºAsuntos!G16)-Datos!BE16)/Datos!BE16," - ")</f>
        <v>0.18460878828464475</v>
      </c>
      <c r="J16" s="521">
        <f>IF(ISNUMBER((('Resol  Asuntos'!D16/NºAsuntos!G16)-Datos!BF16)/Datos!BF16),(('Resol  Asuntos'!D16/NºAsuntos!G16)-Datos!BF16)/Datos!BF16," - ")</f>
        <v>-3.3029001074113939E-2</v>
      </c>
      <c r="K16" s="522">
        <f>IF(ISNUMBER((((NºAsuntos!C16+NºAsuntos!E16)/NºAsuntos!G16)-Datos!BG16)/Datos!BG16),(((NºAsuntos!C16+NºAsuntos!E16)/NºAsuntos!G16)-Datos!BG16)/Datos!BG16," - ")</f>
        <v>-4.972332394390723E-2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0.42028985507246375</v>
      </c>
      <c r="C18" s="515">
        <f>IF(ISNUMBER(
   IF(D_I="SI",(Datos!J18-Datos!T18)/Datos!T18,(Datos!J18+Datos!AD18-(Datos!T18+Datos!AL18))/(Datos!T18+Datos!AL18))
     ),IF(D_I="SI",(Datos!J18-Datos!T18)/Datos!T18,(Datos!J18+Datos!AD18-(Datos!T18+Datos!AL18))/(Datos!T18+Datos!AL18))," - ")</f>
        <v>4.4444444444444444E-3</v>
      </c>
      <c r="D18" s="515">
        <f>IF(ISNUMBER(
   IF(D_I="SI",(Datos!K18-Datos!U18)/Datos!U18,(Datos!K18+Datos!AE18-(Datos!U18+Datos!AM18))/(Datos!U18+Datos!AM18))
     ),IF(D_I="SI",(Datos!K18-Datos!U18)/Datos!U18,(Datos!K18+Datos!AE18-(Datos!U18+Datos!AM18))/(Datos!U18+Datos!AM18))," - ")</f>
        <v>0.14795918367346939</v>
      </c>
      <c r="E18" s="515">
        <f>IF(ISNUMBER(
   IF(D_I="SI",(Datos!L18-Datos!V18)/Datos!V18,(Datos!L18+Datos!AF18-(Datos!V18+Datos!AN18))/(Datos!V18+Datos!AN18))
     ),IF(D_I="SI",(Datos!L18-Datos!V18)/Datos!V18,(Datos!L18+Datos!AF18-(Datos!V18+Datos!AN18))/(Datos!V18+Datos!AN18))," - ")</f>
        <v>1.020408163265306E-2</v>
      </c>
      <c r="F18" s="515">
        <f>IF(ISNUMBER((Datos!M18-Datos!W18)/Datos!W18),(Datos!M18-Datos!W18)/Datos!W18," - ")</f>
        <v>0.32142857142857145</v>
      </c>
      <c r="G18" s="516">
        <f>IF(ISNUMBER((Datos!N18-Datos!X18)/Datos!X18),(Datos!N18-Datos!X18)/Datos!X18," - ")</f>
        <v>0.1366906474820144</v>
      </c>
      <c r="H18" s="514">
        <f>IF(ISNUMBER(((NºAsuntos!G18/NºAsuntos!E18)-Datos!BD18)/Datos!BD18),((NºAsuntos!G18/NºAsuntos!E18)-Datos!BD18)/Datos!BD18," - ")</f>
        <v>0.14287971825898507</v>
      </c>
      <c r="I18" s="515">
        <f>IF(ISNUMBER(((NºAsuntos!I18/NºAsuntos!G18)-Datos!BE18)/Datos!BE18),((NºAsuntos!I18/NºAsuntos!G18)-Datos!BE18)/Datos!BE18," - ")</f>
        <v>-0.12</v>
      </c>
      <c r="J18" s="521">
        <f>IF(ISNUMBER((('Resol  Asuntos'!D18/NºAsuntos!G18)-Datos!BF18)/Datos!BF18),(('Resol  Asuntos'!D18/NºAsuntos!G18)-Datos!BF18)/Datos!BF18," - ")</f>
        <v>0.1511111111111112</v>
      </c>
      <c r="K18" s="522">
        <f>IF(ISNUMBER((((NºAsuntos!C18+NºAsuntos!E18)/NºAsuntos!G18)-Datos!BG18)/Datos!BG18),(((NºAsuntos!C18+NºAsuntos!E18)/NºAsuntos!G18)-Datos!BG18)/Datos!BG18," - ")</f>
        <v>-4.0000000000000036E-2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-0.13472222222222222</v>
      </c>
      <c r="C23" s="1152">
        <f>IF(ISNUMBER(
   IF(Criterios!B14="SI",(Datos!J23-Datos!T23)/Datos!T23,(Datos!J23+Datos!AD23-(Datos!T23+Datos!AL23))/(Datos!T23+Datos!AL23))
     ),IF(Criterios!B14="SI",(Datos!J23-Datos!T23)/Datos!T23,(Datos!J23+Datos!AD23-(Datos!T23+Datos!AL23))/(Datos!T23+Datos!AL23))," - ")</f>
        <v>-5.1948051948051948E-3</v>
      </c>
      <c r="D23" s="1152">
        <f>IF(ISNUMBER(
   IF(Criterios!B14="SI",(Datos!K23-Datos!U23)/Datos!U23,(Datos!K23+Datos!AE23-(Datos!U23+Datos!AM23))/(Datos!U23+Datos!AM23))
     ),IF(Criterios!B14="SI",(Datos!K23-Datos!U23)/Datos!U23,(Datos!K23+Datos!AE23-(Datos!U23+Datos!AM23))/(Datos!U23+Datos!AM23))," - ")</f>
        <v>-3.3428844317096467E-3</v>
      </c>
      <c r="E23" s="1152">
        <f>IF(ISNUMBER(
   IF(Criterios!B14="SI",(Datos!L23-Datos!V23)/Datos!V23,(Datos!L23+Datos!AF23-(Datos!V23+Datos!AN23))/(Datos!V23+Datos!AN23))
     ),IF(Criterios!B14="SI",(Datos!L23-Datos!V23)/Datos!V23,(Datos!L23+Datos!AF23-(Datos!V23+Datos!AN23))/(Datos!V23+Datos!AN23))," - ")</f>
        <v>0.14904942965779466</v>
      </c>
      <c r="F23" s="1153">
        <f>IF(ISNUMBER((Datos!M23-Datos!W23)/Datos!W23),(Datos!M23-Datos!W23)/Datos!W23," - ")</f>
        <v>8.6206896551724137E-3</v>
      </c>
      <c r="G23" s="1154">
        <f>IF(ISNUMBER((Datos!N23-Datos!X23)/Datos!X23),(Datos!N23-Datos!X23)/Datos!X23," - ")</f>
        <v>-4.0584415584415581E-3</v>
      </c>
      <c r="H23" s="1154">
        <f>IF(ISNUMBER(((NºAsuntos!G23/NºAsuntos!E23)-Datos!BD23)/Datos!BD23),((NºAsuntos!G23/NºAsuntos!E23)-Datos!BD23)/Datos!BD23," - ")</f>
        <v>1.8615913676026132E-3</v>
      </c>
      <c r="I23" s="1154">
        <f>IF(ISNUMBER(((NºAsuntos!I23/NºAsuntos!G23)-Datos!BE23)/Datos!BE23),((NºAsuntos!I23/NºAsuntos!G23)-Datos!BE23)/Datos!BE23," - ")</f>
        <v>0.15290345266095923</v>
      </c>
      <c r="J23" s="1154">
        <f>IF(ISNUMBER((('Resol  Asuntos'!D23/NºAsuntos!G23)-Datos!BF23)/Datos!BF23),(('Resol  Asuntos'!D23/NºAsuntos!G23)-Datos!BF23)/Datos!BF23," - ")</f>
        <v>1.2003701072319664E-2</v>
      </c>
      <c r="K23" s="1154">
        <f>IF(ISNUMBER((((NºAsuntos!C23+NºAsuntos!E23)/NºAsuntos!G23)-Datos!BG23)/Datos!BG23),(((NºAsuntos!C23+NºAsuntos!E23)/NºAsuntos!G23)-Datos!BG23)/Datos!BG23," - ")</f>
        <v>-5.1763488260661232E-2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-2.4111448472941596E-2</v>
      </c>
      <c r="C31" s="1092">
        <f>IF(ISNUMBER(
   IF(J_V="SI",(Datos!J31-Datos!T31)/Datos!T31,(Datos!J31+Datos!Z31-(Datos!T31+Datos!AH31))/(Datos!T31+Datos!AH31))
     ),IF(J_V="SI",(Datos!J31-Datos!T31)/Datos!T31,(Datos!J31+Datos!Z31-(Datos!T31+Datos!AH31))/(Datos!T31+Datos!AH31))," - ")</f>
        <v>0.12891440501043841</v>
      </c>
      <c r="D31" s="1092">
        <f>IF(ISNUMBER(
   IF(J_V="SI",(Datos!K31-Datos!U31)/Datos!U31,(Datos!K31+Datos!AA31-(Datos!U31+Datos!AI31))/(Datos!U31+Datos!AI31))
     ),IF(J_V="SI",(Datos!K31-Datos!U31)/Datos!U31,(Datos!K31+Datos!AA31-(Datos!U31+Datos!AI31))/(Datos!U31+Datos!AI31))," - ")</f>
        <v>2.1733297558357928E-2</v>
      </c>
      <c r="E31" s="1092">
        <f>IF(ISNUMBER(
   IF(J_V="SI",(Datos!L31-Datos!V31)/Datos!V31,(Datos!L31+Datos!AB31-(Datos!V31+Datos!AJ31))/(Datos!V31+Datos!AJ31))
     ),IF(J_V="SI",(Datos!L31-Datos!V31)/Datos!V31,(Datos!L31+Datos!AB31-(Datos!V31+Datos!AJ31))/(Datos!V31+Datos!AJ31))," - ")</f>
        <v>0.11623134328358209</v>
      </c>
      <c r="F31" s="1093">
        <f>IF(ISNUMBER((Datos!M31-Datos!W31)/Datos!W31),(Datos!M31-Datos!W31)/Datos!W31," - ")</f>
        <v>2.0155038759689922E-2</v>
      </c>
      <c r="G31" s="1094">
        <f>IF(ISNUMBER((Datos!N31-Datos!X31)/Datos!X31),(Datos!N31-Datos!X31)/Datos!X31," - ")</f>
        <v>1.7400761283306143E-2</v>
      </c>
      <c r="H31" s="1095">
        <f>IF(ISNUMBER((Tasas!B31-Datos!BD31)/Datos!BD31),(Tasas!B31-Datos!BD31)/Datos!BD31," - ")</f>
        <v>-9.49417484411402E-2</v>
      </c>
      <c r="I31" s="1096">
        <f>IF(ISNUMBER((Tasas!C31-Datos!BE31)/Datos!BE31),(Tasas!C31-Datos!BE31)/Datos!BE31," - ")</f>
        <v>9.2487977000501681E-2</v>
      </c>
      <c r="J31" s="1097">
        <f>IF(ISNUMBER((Tasas!D31-Datos!BF31)/Datos!BF31),(Tasas!D31-Datos!BF31)/Datos!BF31," - ")</f>
        <v>-0.3284633196344231</v>
      </c>
      <c r="K31" s="1097">
        <f>IF(ISNUMBER((Tasas!E31-Datos!BG31)/Datos!BG31),(Tasas!E31-Datos!BG31)/Datos!BG31," - ")</f>
        <v>1.5985243105831052E-2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Z+e8K58C6+qPo70p25I1gORI9k/p0ffSR8Ye4/0vdgA9GR5xgl5kcEpjFKIgs1465ysQ481tTnUpzHiShL19g==" saltValue="9ekYlnYHmRLvWnJnUKSJ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GANDIA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0.85029940119760483</v>
      </c>
      <c r="C9" s="498">
        <f>IF(ISNUMBER(NºAsuntos!I9/NºAsuntos!G9),NºAsuntos!I9/NºAsuntos!G9," - ")</f>
        <v>2.592136150234742</v>
      </c>
      <c r="D9" s="499">
        <f>IF(ISNUMBER('Resol  Asuntos'!D9/NºAsuntos!G9),'Resol  Asuntos'!D9/NºAsuntos!G9," - ")</f>
        <v>0.17664319248826291</v>
      </c>
      <c r="E9" s="500">
        <f>IF(ISNUMBER((NºAsuntos!C9+NºAsuntos!E9)/NºAsuntos!G9),(NºAsuntos!C9+NºAsuntos!E9)/NºAsuntos!G9," - ")</f>
        <v>3.6232394366197185</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3.375</v>
      </c>
      <c r="D10" s="499">
        <f>IF(ISNUMBER('Resol  Asuntos'!D10/NºAsuntos!G10),'Resol  Asuntos'!D10/NºAsuntos!G10," - ")</f>
        <v>0.375</v>
      </c>
      <c r="E10" s="500">
        <f>IF(ISNUMBER((NºAsuntos!C10+NºAsuntos!E10)/NºAsuntos!G10),(NºAsuntos!C10+NºAsuntos!E10)/NºAsuntos!G10," - ")</f>
        <v>4.375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1</v>
      </c>
      <c r="D12" s="499">
        <f>IF(ISNUMBER('Resol  Asuntos'!D12/NºAsuntos!G12),'Resol  Asuntos'!D12/NºAsuntos!G12," - ")</f>
        <v>0</v>
      </c>
      <c r="E12" s="500">
        <f>IF(ISNUMBER((NºAsuntos!C12+NºAsuntos!E12)/NºAsuntos!G12),(NºAsuntos!C12+NºAsuntos!E12)/NºAsuntos!G12," - ")</f>
        <v>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0.84861932938856011</v>
      </c>
      <c r="C14" s="1156">
        <f>IF(ISNUMBER(NºAsuntos!I14/NºAsuntos!G14),NºAsuntos!I14/NºAsuntos!G14," - ")</f>
        <v>2.5984892504357933</v>
      </c>
      <c r="D14" s="1157">
        <f>IF(ISNUMBER('Resol  Asuntos'!D14/NºAsuntos!G14),'Resol  Asuntos'!D14/NºAsuntos!G14," - ")</f>
        <v>0.17838466008134804</v>
      </c>
      <c r="E14" s="1158">
        <f>IF(ISNUMBER((NºAsuntos!C14+NºAsuntos!E14)/NºAsuntos!G14),(NºAsuntos!C14+NºAsuntos!E14)/NºAsuntos!G14," - ")</f>
        <v>3.6292852992446254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0.89864864864864868</v>
      </c>
      <c r="C16" s="498">
        <f>IF(ISNUMBER(NºAsuntos!I16/NºAsuntos!G16),NºAsuntos!I16/NºAsuntos!G16," - ")</f>
        <v>0.75832438238453281</v>
      </c>
      <c r="D16" s="499">
        <f>IF(ISNUMBER('Resol  Asuntos'!D16/NºAsuntos!G16),'Resol  Asuntos'!D16/NºAsuntos!G16," - ")</f>
        <v>0.14876476906552094</v>
      </c>
      <c r="E16" s="500">
        <f>IF(ISNUMBER((NºAsuntos!C16+NºAsuntos!E16)/NºAsuntos!G16),(NºAsuntos!C16+NºAsuntos!E16)/NºAsuntos!G16," - ")</f>
        <v>1.7293233082706767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0.99557522123893805</v>
      </c>
      <c r="C18" s="498">
        <f>IF(ISNUMBER(NºAsuntos!I18/NºAsuntos!G18),NºAsuntos!I18/NºAsuntos!G18," - ")</f>
        <v>0.44</v>
      </c>
      <c r="D18" s="499">
        <f>IF(ISNUMBER('Resol  Asuntos'!D18/NºAsuntos!G18),'Resol  Asuntos'!D18/NºAsuntos!G18," - ")</f>
        <v>0.3288888888888889</v>
      </c>
      <c r="E18" s="500">
        <f>IF(ISNUMBER((NºAsuntos!C18+NºAsuntos!E18)/NºAsuntos!G18),(NºAsuntos!C18+NºAsuntos!E18)/NºAsuntos!G18," - ")</f>
        <v>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0.9081810269799826</v>
      </c>
      <c r="C23" s="1156">
        <f>IF(ISNUMBER(NºAsuntos!I23/NºAsuntos!G23),NºAsuntos!I23/NºAsuntos!G23," - ")</f>
        <v>0.72400574988021082</v>
      </c>
      <c r="D23" s="1159">
        <f>IF(ISNUMBER('Resol  Asuntos'!D23/NºAsuntos!G23),'Resol  Asuntos'!D23/NºAsuntos!G23," - ")</f>
        <v>0.16818399616674654</v>
      </c>
      <c r="E23" s="1158">
        <f>IF(ISNUMBER((NºAsuntos!C23+NºAsuntos!E23)/NºAsuntos!G23),(NºAsuntos!C23+NºAsuntos!E23)/NºAsuntos!G23," - ")</f>
        <v>1.6981312889314806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0.88025889967637538</v>
      </c>
      <c r="C31" s="1099">
        <f>IF(ISNUMBER(NºAsuntos!I31/NºAsuntos!G31),NºAsuntos!I31/NºAsuntos!G31," - ")</f>
        <v>1.5711659663865547</v>
      </c>
      <c r="D31" s="1100">
        <f>IF(ISNUMBER('Resol  Asuntos'!D31/NºAsuntos!G31),'Resol  Asuntos'!D31/NºAsuntos!G31," - ")</f>
        <v>0.17279411764705882</v>
      </c>
      <c r="E31" s="1101">
        <f>IF(ISNUMBER((NºAsuntos!C31+NºAsuntos!E31)/NºAsuntos!G31),(NºAsuntos!C31+NºAsuntos!E31)/NºAsuntos!G31," - ")</f>
        <v>2.5709033613445378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3l3LPIvHICiJhR2KoDW2/Om8d4/Z/2InA2npOSB4MLs6Dis3L+ccxyRidFvcgtlhmhDXNYvfGnOQrKmaXcmag==" saltValue="EQg8rla2fdLlNg/crhPR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GANDIA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405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392</v>
      </c>
      <c r="Y9" s="374">
        <f>SUM(W9:X9)</f>
        <v>392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7325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301</v>
      </c>
      <c r="AJ9" s="243" t="str">
        <f>IF(ISNUMBER(Datos!BW9),Datos!BW9," - ")</f>
        <v xml:space="preserve"> - </v>
      </c>
      <c r="AK9" s="242" t="str">
        <f>IF(ISNUMBER(Datos!BX9),Datos!BX9," - ")</f>
        <v xml:space="preserve"> - </v>
      </c>
      <c r="AL9" s="266">
        <f>IF(ISNUMBER(NºAsuntos!G9/NºAsuntos!E9),NºAsuntos!G9/NºAsuntos!E9," - ")</f>
        <v>0.85029940119760483</v>
      </c>
      <c r="AM9" s="284">
        <f>IF(ISNUMBER(((NºAsuntos!I9/NºAsuntos!G9)*11)/factor_trimestre),((NºAsuntos!I9/NºAsuntos!G9)*11)/factor_trimestre," - ")</f>
        <v>5.184272300469484</v>
      </c>
      <c r="AN9" s="267">
        <f>IF(ISNUMBER('Resol  Asuntos'!D9/NºAsuntos!G9),'Resol  Asuntos'!D9/NºAsuntos!G9," - ")</f>
        <v>0.17664319248826291</v>
      </c>
      <c r="AO9" s="268">
        <f>IF(ISNUMBER((NºAsuntos!C9+NºAsuntos!E9)/NºAsuntos!G9),(NºAsuntos!C9+NºAsuntos!E9)/NºAsuntos!G9," - ")</f>
        <v>3.6232394366197185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2</v>
      </c>
      <c r="Y10" s="374">
        <f t="shared" ref="Y10:Y13" si="0">SUM(W10:X10)</f>
        <v>18</v>
      </c>
      <c r="Z10" s="375" t="str">
        <f>IF(ISNUMBER(Datos!CC10),Datos!CC10," - ")</f>
        <v xml:space="preserve"> - </v>
      </c>
      <c r="AA10" s="372">
        <f>IF(ISNUMBER(Datos!L10),Datos!L10,"-")</f>
        <v>54</v>
      </c>
      <c r="AB10" s="374">
        <f>IF(ISNUMBER(Datos!R10),Datos!R10," - ")</f>
        <v>60</v>
      </c>
      <c r="AC10" s="374">
        <f t="shared" ref="AC10:AC13" si="1">IF(ISNUMBER(AA10+AB10),AA10+AB10," - ")</f>
        <v>114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6.75</v>
      </c>
      <c r="AN10" s="267">
        <f>IF(ISNUMBER('Resol  Asuntos'!D10/NºAsuntos!G10),'Resol  Asuntos'!D10/NºAsuntos!G10," - ")</f>
        <v>0.375</v>
      </c>
      <c r="AO10" s="268">
        <f>IF(ISNUMBER((NºAsuntos!C10+NºAsuntos!E10)/NºAsuntos!G10),(NºAsuntos!C10+NºAsuntos!E10)/NºAsuntos!G10," - ")</f>
        <v>4.375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2</v>
      </c>
      <c r="AN12" s="267">
        <f>IF(ISNUMBER('Resol  Asuntos'!D12/NºAsuntos!G12),'Resol  Asuntos'!D12/NºAsuntos!G12," - ")</f>
        <v>0</v>
      </c>
      <c r="AO12" s="268">
        <f>IF(ISNUMBER((NºAsuntos!C12+NºAsuntos!E12)/NºAsuntos!G12),(NºAsuntos!C12+NºAsuntos!E12)/NºAsuntos!G12," - ")</f>
        <v>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46</v>
      </c>
      <c r="G14" s="1163">
        <f t="shared" si="5"/>
        <v>46</v>
      </c>
      <c r="H14" s="1162">
        <f t="shared" si="5"/>
        <v>0</v>
      </c>
      <c r="I14" s="1164">
        <f t="shared" si="5"/>
        <v>0</v>
      </c>
      <c r="J14" s="1164">
        <f t="shared" si="5"/>
        <v>0</v>
      </c>
      <c r="K14" s="1164">
        <f t="shared" si="5"/>
        <v>0</v>
      </c>
      <c r="L14" s="1164">
        <f t="shared" si="5"/>
        <v>411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394</v>
      </c>
      <c r="Y14" s="1165">
        <f t="shared" si="6"/>
        <v>410</v>
      </c>
      <c r="Z14" s="1165">
        <f t="shared" si="6"/>
        <v>0</v>
      </c>
      <c r="AA14" s="1165">
        <f t="shared" si="6"/>
        <v>54</v>
      </c>
      <c r="AB14" s="1165">
        <f t="shared" si="6"/>
        <v>7481</v>
      </c>
      <c r="AC14" s="1165">
        <f t="shared" si="6"/>
        <v>114</v>
      </c>
      <c r="AD14" s="1165">
        <f t="shared" si="6"/>
        <v>0</v>
      </c>
      <c r="AE14" s="1169">
        <f t="shared" si="6"/>
        <v>0</v>
      </c>
      <c r="AF14" s="1162">
        <f t="shared" si="6"/>
        <v>0</v>
      </c>
      <c r="AG14" s="1170">
        <f t="shared" si="6"/>
        <v>0</v>
      </c>
      <c r="AH14" s="1167">
        <f t="shared" si="6"/>
        <v>0</v>
      </c>
      <c r="AI14" s="1162">
        <f t="shared" si="6"/>
        <v>307</v>
      </c>
      <c r="AJ14" s="1164">
        <f t="shared" si="6"/>
        <v>0</v>
      </c>
      <c r="AK14" s="1167">
        <f>SUBTOTAL(9,AK9:AK13)</f>
        <v>0</v>
      </c>
      <c r="AL14" s="1171">
        <f>IF(ISNUMBER(NºAsuntos!G14/NºAsuntos!E14),NºAsuntos!G14/NºAsuntos!E14," - ")</f>
        <v>0.84861932938856011</v>
      </c>
      <c r="AM14" s="1171">
        <f>IF(ISNUMBER(((NºAsuntos!I14/NºAsuntos!G14)*11)/factor_trimestre),((NºAsuntos!I14/NºAsuntos!G14)*11)/factor_trimestre," - ")</f>
        <v>5.1969785008715865</v>
      </c>
      <c r="AN14" s="1172">
        <f>IF(ISNUMBER('Resol  Asuntos'!D14/NºAsuntos!G14),'Resol  Asuntos'!D14/NºAsuntos!G14," - ")</f>
        <v>0.17838466008134804</v>
      </c>
      <c r="AO14" s="1173">
        <f>IF(ISNUMBER((NºAsuntos!C14+NºAsuntos!E14)/NºAsuntos!G14),(NºAsuntos!C14+NºAsuntos!E14)/NºAsuntos!G14," - ")</f>
        <v>3.6292852992446254</v>
      </c>
      <c r="AP14" s="1174" t="str">
        <f t="shared" si="2"/>
        <v xml:space="preserve"> - </v>
      </c>
      <c r="AQ14" s="1174">
        <f>IF(ISNUMBER((H14-W14+K14)/(F14)),(H14-W14+K14)/(F14)," - ")</f>
        <v>-0.34782608695652173</v>
      </c>
      <c r="AR14" s="1175">
        <f>IF(ISNUMBER((Datos!P14-Datos!Q14)/(Datos!R14-Datos!P14+Datos!Q14)),(Datos!P14-Datos!Q14)/(Datos!R14-Datos!P14+Datos!Q14)," - ")</f>
        <v>2.2775991425509111E-3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1202</v>
      </c>
      <c r="G16" s="373">
        <f>IF(ISNUMBER(IF(D_I="SI",Datos!I16,Datos!I16+Datos!AC16)),IF(D_I="SI",Datos!I16,Datos!I16+Datos!AC16)," - ")</f>
        <v>1148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1862</v>
      </c>
      <c r="X16" s="240">
        <f>IF(ISNUMBER(Datos!Q16),Datos!Q16," - ")</f>
        <v>79</v>
      </c>
      <c r="Y16" s="374">
        <f>SUM(W16)</f>
        <v>1862</v>
      </c>
      <c r="Z16" s="375" t="str">
        <f>IF(ISNUMBER(Datos!CC16),Datos!CC16," - ")</f>
        <v xml:space="preserve"> - </v>
      </c>
      <c r="AA16" s="372">
        <f>IF(ISNUMBER(IF(D_I="SI",Datos!L16,Datos!L16+Datos!AF16)),IF(D_I="SI",Datos!L16,Datos!L16+Datos!AF16)," - ")</f>
        <v>1412</v>
      </c>
      <c r="AB16" s="374">
        <f>IF(ISNUMBER(Datos!R16),Datos!R16," - ")</f>
        <v>301</v>
      </c>
      <c r="AC16" s="374">
        <f t="shared" ref="AC16:AC22" si="8">IF(ISNUMBER(AA16+AB16),AA16+AB16," - ")</f>
        <v>1713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277</v>
      </c>
      <c r="AJ16" s="245" t="str">
        <f>IF(ISNUMBER(Datos!BW16),Datos!BW16," - ")</f>
        <v xml:space="preserve"> - </v>
      </c>
      <c r="AK16" s="246" t="str">
        <f>IF(ISNUMBER(Datos!BX16),Datos!BX16," - ")</f>
        <v xml:space="preserve"> - </v>
      </c>
      <c r="AL16" s="266">
        <f>IF(ISNUMBER(NºAsuntos!G16/NºAsuntos!E16),NºAsuntos!G16/NºAsuntos!E16," - ")</f>
        <v>0.89864864864864868</v>
      </c>
      <c r="AM16" s="284">
        <f>IF(ISNUMBER(((NºAsuntos!I16/NºAsuntos!G16)*11)/factor_trimestre),((NºAsuntos!I16/NºAsuntos!G16)*11)/factor_trimestre," - ")</f>
        <v>1.5166487647690656</v>
      </c>
      <c r="AN16" s="267">
        <f>IF(ISNUMBER('Resol  Asuntos'!D16/NºAsuntos!G16),'Resol  Asuntos'!D16/NºAsuntos!G16," - ")</f>
        <v>0.14876476906552094</v>
      </c>
      <c r="AO16" s="268">
        <f>IF(ISNUMBER((NºAsuntos!C16+NºAsuntos!E16)/NºAsuntos!G16),(NºAsuntos!C16+NºAsuntos!E16)/NºAsuntos!G16," - ")</f>
        <v>1.7293233082706767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225</v>
      </c>
      <c r="X18" s="240">
        <f>IF(ISNUMBER(Datos!Q18),Datos!Q18," - ")</f>
        <v>5</v>
      </c>
      <c r="Y18" s="374">
        <f t="shared" si="9"/>
        <v>230</v>
      </c>
      <c r="Z18" s="375" t="str">
        <f>IF(ISNUMBER(Datos!CC18),Datos!CC18," - ")</f>
        <v xml:space="preserve"> - </v>
      </c>
      <c r="AA18" s="372">
        <f>IF(ISNUMBER(Datos!L18),Datos!L18,"-")</f>
        <v>99</v>
      </c>
      <c r="AB18" s="374">
        <f>IF(ISNUMBER(Datos!R18),Datos!R18," - ")</f>
        <v>10</v>
      </c>
      <c r="AC18" s="374">
        <f t="shared" si="8"/>
        <v>109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74</v>
      </c>
      <c r="AJ18" s="245" t="str">
        <f>IF(ISNUMBER(Datos!BW18),Datos!BW18," - ")</f>
        <v xml:space="preserve"> - </v>
      </c>
      <c r="AK18" s="246" t="str">
        <f>IF(ISNUMBER(Datos!BX18),Datos!BX18," - ")</f>
        <v xml:space="preserve"> - </v>
      </c>
      <c r="AL18" s="266">
        <f>IF(ISNUMBER(NºAsuntos!G18/NºAsuntos!E18),NºAsuntos!G18/NºAsuntos!E18," - ")</f>
        <v>0.99557522123893805</v>
      </c>
      <c r="AM18" s="284">
        <f>IF(ISNUMBER(((NºAsuntos!I18/NºAsuntos!G18)*11)/factor_trimestre),((NºAsuntos!I18/NºAsuntos!G18)*11)/factor_trimestre," - ")</f>
        <v>0.88</v>
      </c>
      <c r="AN18" s="267">
        <f>IF(ISNUMBER('Resol  Asuntos'!D18/NºAsuntos!G18),'Resol  Asuntos'!D18/NºAsuntos!G18," - ")</f>
        <v>0.3288888888888889</v>
      </c>
      <c r="AO18" s="268">
        <f>IF(ISNUMBER((NºAsuntos!C18+NºAsuntos!E18)/NºAsuntos!G18),(NºAsuntos!C18+NºAsuntos!E18)/NºAsuntos!G18," - ")</f>
        <v>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1202</v>
      </c>
      <c r="G23" s="1163">
        <f>SUBTOTAL(9,G16:G22)</f>
        <v>1246</v>
      </c>
      <c r="H23" s="1162">
        <f t="shared" ref="H23:O23" si="13">SUBTOTAL(9,H15:H22)</f>
        <v>0</v>
      </c>
      <c r="I23" s="1164">
        <f t="shared" si="13"/>
        <v>0</v>
      </c>
      <c r="J23" s="1164">
        <f t="shared" si="13"/>
        <v>0</v>
      </c>
      <c r="K23" s="1164">
        <f t="shared" si="13"/>
        <v>0</v>
      </c>
      <c r="L23" s="1164">
        <f t="shared" si="13"/>
        <v>100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2087</v>
      </c>
      <c r="X23" s="1164">
        <f t="shared" si="14"/>
        <v>84</v>
      </c>
      <c r="Y23" s="1165">
        <f t="shared" si="14"/>
        <v>2092</v>
      </c>
      <c r="Z23" s="1165">
        <f t="shared" si="14"/>
        <v>0</v>
      </c>
      <c r="AA23" s="1165">
        <f t="shared" si="14"/>
        <v>1511</v>
      </c>
      <c r="AB23" s="1165">
        <f t="shared" si="14"/>
        <v>311</v>
      </c>
      <c r="AC23" s="1165">
        <f t="shared" si="14"/>
        <v>1822</v>
      </c>
      <c r="AD23" s="1165">
        <f t="shared" si="14"/>
        <v>0</v>
      </c>
      <c r="AE23" s="1169">
        <f t="shared" si="14"/>
        <v>0</v>
      </c>
      <c r="AF23" s="1162">
        <f t="shared" si="14"/>
        <v>0</v>
      </c>
      <c r="AG23" s="1170">
        <f t="shared" si="14"/>
        <v>0</v>
      </c>
      <c r="AH23" s="1167">
        <f t="shared" si="14"/>
        <v>0</v>
      </c>
      <c r="AI23" s="1162">
        <f t="shared" si="14"/>
        <v>351</v>
      </c>
      <c r="AJ23" s="1164">
        <f t="shared" si="14"/>
        <v>0</v>
      </c>
      <c r="AK23" s="1167">
        <f t="shared" si="14"/>
        <v>0</v>
      </c>
      <c r="AL23" s="1171">
        <f>IF(ISNUMBER(NºAsuntos!G23/NºAsuntos!E23),NºAsuntos!G23/NºAsuntos!E23," - ")</f>
        <v>0.9081810269799826</v>
      </c>
      <c r="AM23" s="1171">
        <f>IF(ISNUMBER(((NºAsuntos!I23/NºAsuntos!G23)*11)/factor_trimestre),((NºAsuntos!I23/NºAsuntos!G23)*11)/factor_trimestre," - ")</f>
        <v>1.4480114997604216</v>
      </c>
      <c r="AN23" s="1172">
        <f>IF(ISNUMBER('Resol  Asuntos'!D23/NºAsuntos!G23),'Resol  Asuntos'!D23/NºAsuntos!G23," - ")</f>
        <v>0.16818399616674654</v>
      </c>
      <c r="AO23" s="1173">
        <f>IF(ISNUMBER((NºAsuntos!C23+NºAsuntos!E23)/NºAsuntos!G23),(NºAsuntos!C23+NºAsuntos!E23)/NºAsuntos!G23," - ")</f>
        <v>1.6981312889314806</v>
      </c>
      <c r="AP23" s="1174" t="str">
        <f t="shared" si="2"/>
        <v xml:space="preserve"> - </v>
      </c>
      <c r="AQ23" s="1174">
        <f>IF(ISNUMBER((H23-W23+K23)/(F23)),(H23-W23+K23)/(F23)," - ")</f>
        <v>-1.7362728785357737</v>
      </c>
      <c r="AR23" s="1175">
        <f>IF(ISNUMBER((Datos!P23-Datos!Q23)/(Datos!R23-Datos!P23+Datos!Q23)),(Datos!P23-Datos!Q23)/(Datos!R23-Datos!P23+Datos!Q23)," - ")</f>
        <v>5.4237288135593219E-2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1248</v>
      </c>
      <c r="G31" s="1118">
        <f t="shared" si="20"/>
        <v>1292</v>
      </c>
      <c r="H31" s="1117">
        <f t="shared" si="20"/>
        <v>0</v>
      </c>
      <c r="I31" s="1119">
        <f t="shared" si="20"/>
        <v>0</v>
      </c>
      <c r="J31" s="1119">
        <f t="shared" si="20"/>
        <v>0</v>
      </c>
      <c r="K31" s="1180">
        <f t="shared" si="20"/>
        <v>0</v>
      </c>
      <c r="L31" s="1119">
        <f t="shared" si="20"/>
        <v>511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2103</v>
      </c>
      <c r="X31" s="1118">
        <f t="shared" si="21"/>
        <v>478</v>
      </c>
      <c r="Y31" s="1125">
        <f t="shared" si="21"/>
        <v>2502</v>
      </c>
      <c r="Z31" s="1125">
        <f t="shared" si="21"/>
        <v>0</v>
      </c>
      <c r="AA31" s="1125">
        <f t="shared" si="21"/>
        <v>1565</v>
      </c>
      <c r="AB31" s="1125">
        <f t="shared" si="21"/>
        <v>7792</v>
      </c>
      <c r="AC31" s="1125">
        <f t="shared" si="21"/>
        <v>1936</v>
      </c>
      <c r="AD31" s="1125">
        <f t="shared" si="21"/>
        <v>0</v>
      </c>
      <c r="AE31" s="1127">
        <f t="shared" si="21"/>
        <v>0</v>
      </c>
      <c r="AF31" s="1128">
        <f t="shared" si="21"/>
        <v>0</v>
      </c>
      <c r="AG31" s="1129">
        <f t="shared" si="21"/>
        <v>0</v>
      </c>
      <c r="AH31" s="1127">
        <f t="shared" si="21"/>
        <v>0</v>
      </c>
      <c r="AI31" s="1117">
        <f t="shared" si="21"/>
        <v>658</v>
      </c>
      <c r="AJ31" s="1117">
        <f t="shared" si="21"/>
        <v>0</v>
      </c>
      <c r="AK31" s="1127">
        <f t="shared" si="21"/>
        <v>0</v>
      </c>
      <c r="AL31" s="1183">
        <f>IF(ISNUMBER(NºAsuntos!G31/NºAsuntos!E31),NºAsuntos!G31/NºAsuntos!E31," - ")</f>
        <v>0.88025889967637538</v>
      </c>
      <c r="AM31" s="1184">
        <f>IF(ISNUMBER(((NºAsuntos!I31/NºAsuntos!G31)*11)/factor_trimestre),((NºAsuntos!I31/NºAsuntos!G31)*11)/factor_trimestre," - ")</f>
        <v>3.1423319327731094</v>
      </c>
      <c r="AN31" s="1184">
        <f>IF(ISNUMBER('Resol  Asuntos'!D31/NºAsuntos!G31),'Resol  Asuntos'!D31/NºAsuntos!G31," - ")</f>
        <v>0.17279411764705882</v>
      </c>
      <c r="AO31" s="1185">
        <f>IF(ISNUMBER((NºAsuntos!C31+NºAsuntos!E31)/NºAsuntos!G31),(NºAsuntos!C31+NºAsuntos!E31)/NºAsuntos!G31," - ")</f>
        <v>2.5709033613445378</v>
      </c>
      <c r="AP31" s="1186" t="str">
        <f t="shared" si="2"/>
        <v xml:space="preserve"> - </v>
      </c>
      <c r="AQ31" s="1187">
        <f>IF(OR(ISNUMBER(FIND("01",Criterios!A8,1)),ISNUMBER(FIND("02",Criterios!A8,1)),ISNUMBER(FIND("03",Criterios!A8,1)),ISNUMBER(FIND("04",Criterios!A8,1))),(I31-W31+K31)/(F31-K31),(H31-W31+K31)/(F31-K31))</f>
        <v>-1.6850961538461537</v>
      </c>
      <c r="AR31" s="1188">
        <f>IF(ISNUMBER((Datos!P31-Datos!Q31)/(Datos!R31-Datos!P31+Datos!Q31)),(Datos!P31-Datos!Q31)/(Datos!R31-Datos!P31+Datos!Q31)," - ")</f>
        <v>4.2531254027580873E-3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577.90393006186798</v>
      </c>
      <c r="G33" s="277">
        <f>IF(ISNUMBER(STDEV(G8:G30)),STDEV(G8:G30),"-")</f>
        <v>541.1131384206343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899.40023666568254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155.31559269221276</v>
      </c>
      <c r="AJ33" s="276">
        <f t="shared" si="25"/>
        <v>0</v>
      </c>
      <c r="AK33" s="278">
        <f t="shared" si="25"/>
        <v>0</v>
      </c>
      <c r="AL33" s="273">
        <f t="shared" si="25"/>
        <v>0.10934946572859452</v>
      </c>
      <c r="AM33" s="274">
        <f t="shared" si="25"/>
        <v>2.3525132959219484</v>
      </c>
      <c r="AN33" s="274">
        <f t="shared" si="25"/>
        <v>0.1236960020282208</v>
      </c>
      <c r="AO33" s="275">
        <f t="shared" si="25"/>
        <v>1.1917554869763292</v>
      </c>
      <c r="AP33" s="317" t="str">
        <f t="shared" si="25"/>
        <v>-</v>
      </c>
      <c r="AQ33" s="318">
        <f t="shared" si="25"/>
        <v>0.98178014164239391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q6T33fiAQFcUtc9GjLNuhykTnTAG2HPeuoC4alm9m7uFTkBIk3/3E6VONs7U/VgDF3M5TRqiQUkXRhhY74M7A==" saltValue="ktxJpjama/tTaC9MZf8b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GANDIA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5.9859154929577461E-2</v>
      </c>
      <c r="I9" s="395">
        <f>IF(ISNUMBER((Tasas!C9-Datos!BE9)/Datos!BE9),(Tasas!C9-Datos!BE9)/Datos!BE9," - ")</f>
        <v>4.3847982557682672E-2</v>
      </c>
      <c r="J9" s="394">
        <f>IF(ISNUMBER((Tasas!D9-Datos!BF9)/Datos!BF9),(Tasas!D9-Datos!BF9)/Datos!BF9," - ")</f>
        <v>-0.52383139416207392</v>
      </c>
      <c r="K9" s="396">
        <f>IF(ISNUMBER((Tasas!E9-Datos!BG9)/Datos!BG9),(Tasas!E9-Datos!BG9)/Datos!BG9," - ")</f>
        <v>3.9633672451225711E-2</v>
      </c>
      <c r="M9" t="e">
        <f>IF(Monitorios="SI",Datos!CE9,0)</f>
        <v>#REF!</v>
      </c>
      <c r="N9" t="e">
        <f>IF(Monitorios="SI",Datos!CF9,0)</f>
        <v>#REF!</v>
      </c>
      <c r="O9" t="e">
        <f>IF(Monitorios="SI",Datos!CG9,0)</f>
        <v>#REF!</v>
      </c>
      <c r="P9" t="e">
        <f>IF(Monitorios="SI",Datos!CH9,0)</f>
        <v>#REF!</v>
      </c>
      <c r="Q9">
        <f>IF(J_V="SI",0,Datos!AG9)</f>
        <v>240</v>
      </c>
      <c r="R9">
        <f>IF(J_V="SI",0,Datos!AH9)</f>
        <v>178</v>
      </c>
      <c r="S9">
        <f>IF(J_V="SI",0,Datos!AI9)</f>
        <v>183</v>
      </c>
      <c r="T9">
        <f>IF(J_V="SI",0,Datos!AJ9)</f>
        <v>235</v>
      </c>
    </row>
    <row r="10" spans="2:20" ht="14.25">
      <c r="B10" s="300" t="s">
        <v>321</v>
      </c>
      <c r="C10" s="7" t="str">
        <f>Datos!A10</f>
        <v>Jdos. Violencia contra la mujer</v>
      </c>
      <c r="D10" s="397">
        <f>IF(ISNUMBER((Datos!I10-Datos!S10)/Datos!S10),(Datos!I10-Datos!S10)/Datos!S10," - ")</f>
        <v>-2.1276595744680851E-2</v>
      </c>
      <c r="E10" s="393">
        <f>IF(ISNUMBER((Datos!J10-Datos!T10)/Datos!T10),(Datos!J10-Datos!T10)/Datos!T10," - ")</f>
        <v>0.7142857142857143</v>
      </c>
      <c r="F10" s="393">
        <f>IF(ISNUMBER((Datos!K10-Datos!U10)/Datos!U10),(Datos!K10-Datos!U10)/Datos!U10," - ")</f>
        <v>-0.23809523809523808</v>
      </c>
      <c r="G10" s="394">
        <f>IF(ISNUMBER((Datos!L10-Datos!V10)/Datos!V10),(Datos!L10-Datos!V10)/Datos!V10," - ")</f>
        <v>0.35</v>
      </c>
      <c r="H10" s="244">
        <f>IF(ISNUMBER((Datos!M10-Datos!W10)/Datos!W10),(Datos!M10-Datos!W10)/Datos!W10," - ")</f>
        <v>-0.53846153846153844</v>
      </c>
      <c r="I10" s="395">
        <f>IF(ISNUMBER((Tasas!C10-Datos!BE10)/Datos!BE10),(Tasas!C10-Datos!BE10)/Datos!BE10," - ")</f>
        <v>0.77187500000000009</v>
      </c>
      <c r="J10" s="394">
        <f>IF(ISNUMBER((Tasas!D10-Datos!BF10)/Datos!BF10),(Tasas!D10-Datos!BF10)/Datos!BF10," - ")</f>
        <v>-0.39423076923076927</v>
      </c>
      <c r="K10" s="396">
        <f>IF(ISNUMBER((Tasas!E10-Datos!BG10)/Datos!BG10),(Tasas!E10-Datos!BG10)/Datos!BG10," - ")</f>
        <v>0.50614754098360659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3.3670033670033669E-2</v>
      </c>
      <c r="I14" s="402">
        <f>IF(ISNUMBER((Tasas!C14-Datos!BE14)/Datos!BE14),(Tasas!C14-Datos!BE14)/Datos!BE14," - ")</f>
        <v>4.9031630645649006E-2</v>
      </c>
      <c r="J14" s="400">
        <f>IF(ISNUMBER((Tasas!D14-Datos!BF14)/Datos!BF14),(Tasas!D14-Datos!BF14)/Datos!BF14," - ")</f>
        <v>-0.5232370705190813</v>
      </c>
      <c r="K14" s="403">
        <f>IF(ISNUMBER((Tasas!E14-Datos!BG14)/Datos!BG14),(Tasas!E14-Datos!BG14)/Datos!BG14," - ")</f>
        <v>4.3235855248455128E-2</v>
      </c>
      <c r="M14" t="e">
        <f>IF(Monitorios="SI",Datos!CE14,0)</f>
        <v>#REF!</v>
      </c>
      <c r="N14" t="e">
        <f>IF(Monitorios="SI",Datos!CF14,0)</f>
        <v>#REF!</v>
      </c>
      <c r="O14" t="e">
        <f>IF(Monitorios="SI",Datos!CG14,0)</f>
        <v>#REF!</v>
      </c>
      <c r="P14" t="e">
        <f>IF(Monitorios="SI",Datos!CH14,0)</f>
        <v>#REF!</v>
      </c>
      <c r="Q14">
        <f>IF(J_V="SI",0,Datos!AG14)</f>
        <v>240</v>
      </c>
      <c r="R14">
        <f>IF(J_V="SI",0,Datos!AH14)</f>
        <v>178</v>
      </c>
      <c r="S14">
        <f>IF(J_V="SI",0,Datos!AI14)</f>
        <v>183</v>
      </c>
      <c r="T14">
        <f>IF(J_V="SI",0,Datos!AJ14)</f>
        <v>235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-0.16143170197224252</v>
      </c>
      <c r="E16" s="393">
        <f>IF(ISNUMBER(
   IF(D_I="SI",(Datos!J16-Datos!T16)/Datos!T16,(Datos!J16+Datos!AD16-(Datos!T16+Datos!AL16))/(Datos!T16+Datos!AL16))
     ),IF(D_I="SI",(Datos!J16-Datos!T16)/Datos!T16,(Datos!J16+Datos!AD16-(Datos!T16+Datos!AL16))/(Datos!T16+Datos!AL16))," - ")</f>
        <v>-6.2350119904076738E-3</v>
      </c>
      <c r="F16" s="393">
        <f>IF(ISNUMBER(
   IF(D_I="SI",(Datos!K16-Datos!U16)/Datos!U16,(Datos!K16+Datos!AE16-(Datos!U16+Datos!AM16))/(Datos!U16+Datos!AM16))
     ),IF(D_I="SI",(Datos!K16-Datos!U16)/Datos!U16,(Datos!K16+Datos!AE16-(Datos!U16+Datos!AM16))/(Datos!U16+Datos!AM16))," - ")</f>
        <v>-1.8967334035827187E-2</v>
      </c>
      <c r="G16" s="394">
        <f>IF(ISNUMBER(
   IF(D_I="SI",(Datos!L16-Datos!V16)/Datos!V16,(Datos!L16+Datos!AF16-(Datos!V16+Datos!AN16))/(Datos!V16+Datos!AN16))
     ),IF(D_I="SI",(Datos!L16-Datos!V16)/Datos!V16,(Datos!L16+Datos!AF16-(Datos!V16+Datos!AN16))/(Datos!V16+Datos!AN16))," - ")</f>
        <v>0.16213991769547326</v>
      </c>
      <c r="H16" s="244">
        <f>IF(ISNUMBER((Datos!M16-Datos!W16)/Datos!W16),(Datos!M16-Datos!W16)/Datos!W16," - ")</f>
        <v>-5.1369863013698627E-2</v>
      </c>
      <c r="I16" s="395">
        <f>IF(ISNUMBER((Tasas!C16-Datos!BE16)/Datos!BE16),(Tasas!C16-Datos!BE16)/Datos!BE16," - ")</f>
        <v>0.18460878828464475</v>
      </c>
      <c r="J16" s="394">
        <f>IF(ISNUMBER((Tasas!D16-Datos!BF16)/Datos!BF16),(Tasas!D16-Datos!BF16)/Datos!BF16," - ")</f>
        <v>-3.3029001074113939E-2</v>
      </c>
      <c r="K16" s="396">
        <f>IF(ISNUMBER((Tasas!E16-Datos!BG16)/Datos!BG16),(Tasas!E16-Datos!BG16)/Datos!BG16," - ")</f>
        <v>-4.972332394390723E-2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0.42028985507246375</v>
      </c>
      <c r="E18" s="393">
        <f>IF(ISNUMBER(
   IF(D_I="SI",(Datos!J18-Datos!T18)/Datos!T18,(Datos!J18+Datos!AD18-(Datos!T18+Datos!AL18))/(Datos!T18+Datos!AL18))
     ),IF(D_I="SI",(Datos!J18-Datos!T18)/Datos!T18,(Datos!J18+Datos!AD18-(Datos!T18+Datos!AL18))/(Datos!T18+Datos!AL18))," - ")</f>
        <v>4.4444444444444444E-3</v>
      </c>
      <c r="F18" s="393">
        <f>IF(ISNUMBER(
   IF(D_I="SI",(Datos!K18-Datos!U18)/Datos!U18,(Datos!K18+Datos!AE18-(Datos!U18+Datos!AM18))/(Datos!U18+Datos!AM18))
     ),IF(D_I="SI",(Datos!K18-Datos!U18)/Datos!U18,(Datos!K18+Datos!AE18-(Datos!U18+Datos!AM18))/(Datos!U18+Datos!AM18))," - ")</f>
        <v>0.14795918367346939</v>
      </c>
      <c r="G18" s="394">
        <f>IF(ISNUMBER(
   IF(D_I="SI",(Datos!L18-Datos!V18)/Datos!V18,(Datos!L18+Datos!AF18-(Datos!V18+Datos!AN18))/(Datos!V18+Datos!AN18))
     ),IF(D_I="SI",(Datos!L18-Datos!V18)/Datos!V18,(Datos!L18+Datos!AF18-(Datos!V18+Datos!AN18))/(Datos!V18+Datos!AN18))," - ")</f>
        <v>1.020408163265306E-2</v>
      </c>
      <c r="H18" s="244">
        <f>IF(ISNUMBER((Datos!M18-Datos!W18)/Datos!W18),(Datos!M18-Datos!W18)/Datos!W18," - ")</f>
        <v>0.32142857142857145</v>
      </c>
      <c r="I18" s="395">
        <f>IF(ISNUMBER((Tasas!C18-Datos!BE18)/Datos!BE18),(Tasas!C18-Datos!BE18)/Datos!BE18," - ")</f>
        <v>-0.12</v>
      </c>
      <c r="J18" s="394">
        <f>IF(ISNUMBER((Tasas!D18-Datos!BF18)/Datos!BF18),(Tasas!D18-Datos!BF18)/Datos!BF18," - ")</f>
        <v>0.1511111111111112</v>
      </c>
      <c r="K18" s="396">
        <f>IF(ISNUMBER((Tasas!E18-Datos!BG18)/Datos!BG18),(Tasas!E18-Datos!BG18)/Datos!BG18," - ")</f>
        <v>-4.0000000000000036E-2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-0.13472222222222222</v>
      </c>
      <c r="E23" s="399">
        <f>IF(ISNUMBER(
   IF(D_I="SI",(Datos!J23-Datos!T23)/Datos!T23,(Datos!J23+Datos!AD23-(Datos!T23+Datos!AL23))/(Datos!T23+Datos!AL23))
     ),IF(D_I="SI",(Datos!J23-Datos!T23)/Datos!T23,(Datos!J23+Datos!AD23-(Datos!T23+Datos!AL23))/(Datos!T23+Datos!AL23))," - ")</f>
        <v>-5.1948051948051948E-3</v>
      </c>
      <c r="F23" s="399">
        <f>IF(ISNUMBER(
   IF(D_I="SI",(Datos!K23-Datos!U23)/Datos!U23,(Datos!K23+Datos!AE23-(Datos!U23+Datos!AM23))/(Datos!U23+Datos!AM23))
     ),IF(D_I="SI",(Datos!K23-Datos!U23)/Datos!U23,(Datos!K23+Datos!AE23-(Datos!U23+Datos!AM23))/(Datos!U23+Datos!AM23))," - ")</f>
        <v>-3.3428844317096467E-3</v>
      </c>
      <c r="G23" s="400">
        <f>IF(ISNUMBER(
   IF(D_I="SI",(Datos!L23-Datos!V23)/Datos!V23,(Datos!L23+Datos!AF23-(Datos!V23+Datos!AN23))/(Datos!V23+Datos!AN23))
     ),IF(D_I="SI",(Datos!L23-Datos!V23)/Datos!V23,(Datos!L23+Datos!AF23-(Datos!V23+Datos!AN23))/(Datos!V23+Datos!AN23))," - ")</f>
        <v>0.14904942965779466</v>
      </c>
      <c r="H23" s="401">
        <f>IF(ISNUMBER((Datos!M23-Datos!W23)/Datos!W23),(Datos!M23-Datos!W23)/Datos!W23," - ")</f>
        <v>8.6206896551724137E-3</v>
      </c>
      <c r="I23" s="402">
        <f>IF(ISNUMBER((Tasas!C23-Datos!BE23)/Datos!BE23),(Tasas!C23-Datos!BE23)/Datos!BE23," - ")</f>
        <v>0.15290345266095923</v>
      </c>
      <c r="J23" s="400">
        <f>IF(ISNUMBER((Tasas!D23-Datos!BF23)/Datos!BF23),(Tasas!D23-Datos!BF23)/Datos!BF23," - ")</f>
        <v>1.2003701072319664E-2</v>
      </c>
      <c r="K23" s="403">
        <f>IF(ISNUMBER((Tasas!E23-Datos!BG23)/Datos!BG23),(Tasas!E23-Datos!BG23)/Datos!BG23," - ")</f>
        <v>-5.1763488260661232E-2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-2.4111448472941596E-2</v>
      </c>
      <c r="E31" s="409">
        <f>IF(ISNUMBER(
   IF(J_V="SI",(Datos!J31-Datos!T31)/Datos!T31,(Datos!J31+Datos!Z31-(Datos!T31+Datos!AH31))/(Datos!T31+Datos!AH31))
     ),IF(J_V="SI",(Datos!J31-Datos!T31)/Datos!T31,(Datos!J31+Datos!Z31-(Datos!T31+Datos!AH31))/(Datos!T31+Datos!AH31))," - ")</f>
        <v>0.12891440501043841</v>
      </c>
      <c r="F31" s="409">
        <f>IF(ISNUMBER(
   IF(J_V="SI",(Datos!K31-Datos!U31)/Datos!U31,(Datos!K31+Datos!AA31-(Datos!U31+Datos!AI31))/(Datos!U31+Datos!AI31))
     ),IF(J_V="SI",(Datos!K31-Datos!U31)/Datos!U31,(Datos!K31+Datos!AA31-(Datos!U31+Datos!AI31))/(Datos!U31+Datos!AI31))," - ")</f>
        <v>2.1733297558357928E-2</v>
      </c>
      <c r="G31" s="410">
        <f>IF(ISNUMBER(
   IF(J_V="SI",(Datos!L31-Datos!V31)/Datos!V31,(Datos!L31+Datos!AB31-(Datos!V31+Datos!AJ31))/(Datos!V31+Datos!AJ31))
     ),IF(J_V="SI",(Datos!L31-Datos!V31)/Datos!V31,(Datos!L31+Datos!AB31-(Datos!V31+Datos!AJ31))/(Datos!V31+Datos!AJ31))," - ")</f>
        <v>0.11623134328358209</v>
      </c>
      <c r="H31" s="411">
        <f>IF(ISNUMBER((Datos!M31-Datos!W31)/Datos!W31),(Datos!M31-Datos!W31)/Datos!W31," - ")</f>
        <v>2.0155038759689922E-2</v>
      </c>
      <c r="I31" s="408">
        <f>IF(ISNUMBER((Tasas!C31-Datos!BE31)/Datos!BE31),(Tasas!C31-Datos!BE31)/Datos!BE31," - ")</f>
        <v>9.2487977000501681E-2</v>
      </c>
      <c r="J31" s="409">
        <f>IF(ISNUMBER((Tasas!D31-Datos!BF31)/Datos!BF31),(Tasas!D31-Datos!BF31)/Datos!BF31," - ")</f>
        <v>-0.3284633196344231</v>
      </c>
      <c r="K31" s="410">
        <f>IF(ISNUMBER((Tasas!E31-Datos!BG31)/Datos!BG31),(Tasas!E31-Datos!BG31)/Datos!BG31," - ")</f>
        <v>1.5985243105831052E-2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0.51486266441983775</v>
      </c>
      <c r="E33" s="303">
        <f t="shared" si="1"/>
        <v>0.35833934234056508</v>
      </c>
      <c r="F33" s="303">
        <f t="shared" si="1"/>
        <v>0.15894564689648255</v>
      </c>
      <c r="G33" s="304">
        <f t="shared" si="1"/>
        <v>0.53607666265443055</v>
      </c>
      <c r="H33" s="310">
        <f t="shared" si="1"/>
        <v>0.28145353067559653</v>
      </c>
      <c r="I33" s="302">
        <f t="shared" si="1"/>
        <v>0.30879142106578833</v>
      </c>
      <c r="J33" s="303">
        <f t="shared" si="1"/>
        <v>0.29702426135916571</v>
      </c>
      <c r="K33" s="304">
        <f t="shared" si="1"/>
        <v>0.21586885509420412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7r6TbdFLCYk5LVxl4dfIXaZkKMS1Ou3HrQQlJAs0LoiPLtkDb0NnZfyhiD+Qab+0RTEY1sAYmuRsnk2xi0/qQ==" saltValue="Qncu8YBQHhvgEAli0o7u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